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itreasury-my.sharepoint.com/personal/eric_motta_ersri_org/Documents/Working Files/Telus/W-4P/web/"/>
    </mc:Choice>
  </mc:AlternateContent>
  <xr:revisionPtr revIDLastSave="2" documentId="8_{5D3F899D-3A99-4413-A8A7-F715D087B5F1}" xr6:coauthVersionLast="47" xr6:coauthVersionMax="47" xr10:uidLastSave="{D8D2B822-45B5-4542-8AFE-41061A76F104}"/>
  <workbookProtection workbookAlgorithmName="SHA-512" workbookHashValue="61NVcWU6uhnB1cnDDOEEpnLFtu4daY/ovqOgIG0Nod457TH8JjasD0odVbs91weOMN6Aoupt4vyDds/OQ5hesA==" workbookSaltValue="Uhblp99ohtkrC0b2p/C1vw==" workbookSpinCount="100000" lockStructure="1"/>
  <bookViews>
    <workbookView xWindow="38280" yWindow="5115" windowWidth="29040" windowHeight="15720" xr2:uid="{00000000-000D-0000-FFFF-FFFF00000000}"/>
  </bookViews>
  <sheets>
    <sheet name="Tax_Calculator_2025" sheetId="1" r:id="rId1"/>
    <sheet name="Former_Tax_Calculator_2025" sheetId="9" state="hidden" r:id="rId2"/>
    <sheet name="Data" sheetId="5" state="hidden" r:id="rId3"/>
    <sheet name="TaxCalculation" sheetId="6" state="hidden" r:id="rId4"/>
    <sheet name="Update" sheetId="3" state="hidden" r:id="rId5"/>
    <sheet name="__nAxPro_Settings__" sheetId="10" state="veryHidden" r:id="rId6"/>
  </sheets>
  <externalReferences>
    <externalReference r:id="rId7"/>
  </externalReferences>
  <definedNames>
    <definedName name="__nAxPro_column__" localSheetId="2" hidden="1">Data!#REF!</definedName>
    <definedName name="__nAxPro_column__" localSheetId="1" hidden="1">Former_Tax_Calculator_2025!$XFD:$XFD</definedName>
    <definedName name="__nAxPro_column__" localSheetId="0" hidden="1">Tax_Calculator_2025!$XFD:$XFD</definedName>
    <definedName name="__nAxPro_column__" localSheetId="3" hidden="1">TaxCalculation!$XFD:$XFD</definedName>
    <definedName name="__nAxPro_column__" localSheetId="4" hidden="1">Update!$XFD:$XFD</definedName>
    <definedName name="__nAxPro_row__" localSheetId="2" hidden="1">Data!$1048576:$1048576</definedName>
    <definedName name="__nAxPro_row__" localSheetId="1" hidden="1">Former_Tax_Calculator_2025!$1048576:$1048576</definedName>
    <definedName name="__nAxPro_row__" localSheetId="0" hidden="1">Tax_Calculator_2025!$1048576:$1048576</definedName>
    <definedName name="__nAxPro_row__" localSheetId="3" hidden="1">TaxCalculation!$1048576:$1048576</definedName>
    <definedName name="__nAxPro_row__" localSheetId="4" hidden="1">Update!$1048576:$1048576</definedName>
    <definedName name="OLD_val_FedAddWH">Former_Tax_Calculator_2025!$E$12</definedName>
    <definedName name="OLD_val_FedMarriedWH">TaxCalculation!$O$11</definedName>
    <definedName name="OLD_val_FedNumExempt">Former_Tax_Calculator_2025!$E$11</definedName>
    <definedName name="OLD_val_FedSingleWH">TaxCalculation!$O$10</definedName>
    <definedName name="OLD_val_MaritalStatus">Former_Tax_Calculator_2025!$E$10</definedName>
    <definedName name="OLD_val_MonthlyGross">Former_Tax_Calculator_2025!$E$8</definedName>
    <definedName name="OLD_val_StateAddWH">Former_Tax_Calculator_2025!$E$15</definedName>
    <definedName name="OLD_val_StateCalcWH">TaxCalculation!$N$48</definedName>
    <definedName name="OLD_val_StateNumExempt">Former_Tax_Calculator_2025!$E$14</definedName>
    <definedName name="tbl_FedTaxData" localSheetId="1">[1]Data!$C$4:$W$20</definedName>
    <definedName name="tbl_FedTaxData">Data!$C$6:$AI$34</definedName>
    <definedName name="tbl_StateTaxData" localSheetId="1">[1]Data!$C$24:$W$28</definedName>
    <definedName name="tbl_StateTaxData">Data!$C$38:$AI$42</definedName>
    <definedName name="tbl_Years" localSheetId="1">[1]Data!$C$3:$W$3</definedName>
    <definedName name="tbl_Years">Data!$C$5:$AI$5</definedName>
    <definedName name="val_FedAddWH" localSheetId="1">Former_Tax_Calculator_2025!$E$12</definedName>
    <definedName name="val_FedAddWH">Tax_Calculator_2025!$E$15</definedName>
    <definedName name="val_FedDeductions">Tax_Calculator_2025!$E$14</definedName>
    <definedName name="val_FedDependentCredits">Tax_Calculator_2025!$E$12</definedName>
    <definedName name="val_FedDesired" localSheetId="1">Former_Tax_Calculator_2025!#REF!</definedName>
    <definedName name="val_FedDesired">Tax_Calculator_2025!$E$20</definedName>
    <definedName name="val_FedHoHWH">TaxCalculation!$L$12</definedName>
    <definedName name="val_FedMarriedWH" localSheetId="1">[1]TaxCalculation!$K$11</definedName>
    <definedName name="val_FedMarriedWH">TaxCalculation!$L$11</definedName>
    <definedName name="val_FedNumExempt" localSheetId="1">Former_Tax_Calculator_2025!$E$11</definedName>
    <definedName name="val_FedNumExempt">#REF!</definedName>
    <definedName name="val_FedOtherIncome">Tax_Calculator_2025!$E$13</definedName>
    <definedName name="val_FedSingleWH" localSheetId="1">[1]TaxCalculation!$K$10</definedName>
    <definedName name="val_FedSingleWH">TaxCalculation!$L$10</definedName>
    <definedName name="val_FedTotalIncAddPens">Tax_Calculator_2025!$E$11</definedName>
    <definedName name="val_FedWH" localSheetId="1">Former_Tax_Calculator_2025!$J$9</definedName>
    <definedName name="val_FedWH">Tax_Calculator_2025!$J$9</definedName>
    <definedName name="Val_FillingDeductionMarried">TaxCalculation!$C$41</definedName>
    <definedName name="Val_FillingDeductionOther">TaxCalculation!$D$41</definedName>
    <definedName name="val_MaritalStatus" localSheetId="1">Former_Tax_Calculator_2025!$E$10</definedName>
    <definedName name="val_MaritalStatus">Tax_Calculator_2025!$E$10</definedName>
    <definedName name="val_MonthlyGross" localSheetId="1">Former_Tax_Calculator_2025!$E$8</definedName>
    <definedName name="val_MonthlyGross">Tax_Calculator_2025!$E$8</definedName>
    <definedName name="val_StateAddWH" localSheetId="1">Former_Tax_Calculator_2025!$E$15</definedName>
    <definedName name="val_StateAddWH">Tax_Calculator_2025!$E$18</definedName>
    <definedName name="val_StateCalcWH" localSheetId="1">[1]TaxCalculation!$K$34</definedName>
    <definedName name="val_StateCalcWH">TaxCalculation!$L$48</definedName>
    <definedName name="val_StateDesired" localSheetId="1">Former_Tax_Calculator_2025!#REF!</definedName>
    <definedName name="val_StateDesired">Tax_Calculator_2025!$E$21</definedName>
    <definedName name="val_StateNumExempt" localSheetId="1">Former_Tax_Calculator_2025!$E$14</definedName>
    <definedName name="val_StateNumExempt">Tax_Calculator_2025!$E$17</definedName>
    <definedName name="val_StateWH" localSheetId="1">Former_Tax_Calculator_2025!$J$10</definedName>
    <definedName name="val_StateWH">Tax_Calculator_2025!$J$10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1" l="1"/>
  <c r="E41" i="5" l="1"/>
  <c r="E42" i="5" s="1"/>
  <c r="E25" i="5"/>
  <c r="E26" i="5" s="1"/>
  <c r="E27" i="5" s="1"/>
  <c r="E28" i="5" s="1"/>
  <c r="E29" i="5" s="1"/>
  <c r="E30" i="5" s="1"/>
  <c r="E17" i="5"/>
  <c r="E18" i="5" s="1"/>
  <c r="E19" i="5" s="1"/>
  <c r="E20" i="5" s="1"/>
  <c r="E21" i="5" s="1"/>
  <c r="E22" i="5" s="1"/>
  <c r="E9" i="5"/>
  <c r="E10" i="5" s="1"/>
  <c r="E11" i="5" s="1"/>
  <c r="E12" i="5" s="1"/>
  <c r="E13" i="5" s="1"/>
  <c r="E14" i="5" s="1"/>
  <c r="D11" i="6" l="1"/>
  <c r="C38" i="6"/>
  <c r="C8" i="6"/>
  <c r="H42" i="5"/>
  <c r="H41" i="5"/>
  <c r="H25" i="5" l="1"/>
  <c r="H26" i="5" s="1"/>
  <c r="H27" i="5" s="1"/>
  <c r="H28" i="5" s="1"/>
  <c r="H29" i="5" s="1"/>
  <c r="H30" i="5" s="1"/>
  <c r="H17" i="5"/>
  <c r="H18" i="5" s="1"/>
  <c r="H19" i="5" s="1"/>
  <c r="H20" i="5" s="1"/>
  <c r="H21" i="5" s="1"/>
  <c r="H22" i="5" s="1"/>
  <c r="H9" i="5"/>
  <c r="H10" i="5" s="1"/>
  <c r="H11" i="5" s="1"/>
  <c r="H12" i="5" s="1"/>
  <c r="H13" i="5" s="1"/>
  <c r="H14" i="5" s="1"/>
  <c r="E21" i="9"/>
  <c r="E20" i="9"/>
  <c r="E19" i="9"/>
  <c r="B2" i="9"/>
  <c r="D41" i="6" l="1"/>
  <c r="L8" i="6" s="1"/>
  <c r="C41" i="6"/>
  <c r="C36" i="6"/>
  <c r="H11" i="6" l="1"/>
  <c r="C45" i="6" l="1"/>
  <c r="N46" i="6" s="1"/>
  <c r="G50" i="6"/>
  <c r="C50" i="6"/>
  <c r="G49" i="6"/>
  <c r="D49" i="6"/>
  <c r="C49" i="6"/>
  <c r="G48" i="6"/>
  <c r="E48" i="6"/>
  <c r="D48" i="6"/>
  <c r="G38" i="6"/>
  <c r="G37" i="6"/>
  <c r="D37" i="6"/>
  <c r="C37" i="6"/>
  <c r="G36" i="6"/>
  <c r="D36" i="6"/>
  <c r="G35" i="6"/>
  <c r="D35" i="6"/>
  <c r="C35" i="6"/>
  <c r="G34" i="6"/>
  <c r="D34" i="6"/>
  <c r="C34" i="6"/>
  <c r="G33" i="6"/>
  <c r="D33" i="6"/>
  <c r="C33" i="6"/>
  <c r="G32" i="6"/>
  <c r="E32" i="6"/>
  <c r="D32" i="6"/>
  <c r="C32" i="6"/>
  <c r="D31" i="6"/>
  <c r="K25" i="5"/>
  <c r="K26" i="5" s="1"/>
  <c r="K27" i="5" s="1"/>
  <c r="K28" i="5" s="1"/>
  <c r="K29" i="5" s="1"/>
  <c r="K30" i="5" s="1"/>
  <c r="E38" i="6" s="1"/>
  <c r="K41" i="5"/>
  <c r="K42" i="5" s="1"/>
  <c r="E50" i="6" s="1"/>
  <c r="K17" i="5"/>
  <c r="K18" i="5" s="1"/>
  <c r="K19" i="5" s="1"/>
  <c r="K20" i="5" s="1"/>
  <c r="K21" i="5" s="1"/>
  <c r="K22" i="5" s="1"/>
  <c r="K9" i="5"/>
  <c r="K10" i="5" s="1"/>
  <c r="K11" i="5" s="1"/>
  <c r="K12" i="5" s="1"/>
  <c r="K13" i="5" s="1"/>
  <c r="K14" i="5" s="1"/>
  <c r="I50" i="6" l="1"/>
  <c r="I48" i="6"/>
  <c r="I49" i="6"/>
  <c r="E49" i="6"/>
  <c r="E33" i="6"/>
  <c r="E35" i="6"/>
  <c r="E37" i="6"/>
  <c r="E34" i="6"/>
  <c r="E36" i="6"/>
  <c r="N41" i="5"/>
  <c r="N42" i="5" s="1"/>
  <c r="N17" i="5"/>
  <c r="N18" i="5" s="1"/>
  <c r="N19" i="5" s="1"/>
  <c r="N20" i="5" s="1"/>
  <c r="N21" i="5" s="1"/>
  <c r="N22" i="5" s="1"/>
  <c r="N9" i="5"/>
  <c r="N10" i="5" s="1"/>
  <c r="N11" i="5" s="1"/>
  <c r="N12" i="5" s="1"/>
  <c r="N13" i="5" s="1"/>
  <c r="N14" i="5" s="1"/>
  <c r="Q41" i="5" l="1"/>
  <c r="Q42" i="5" s="1"/>
  <c r="Q17" i="5"/>
  <c r="Q18" i="5" s="1"/>
  <c r="Q19" i="5" s="1"/>
  <c r="Q20" i="5" s="1"/>
  <c r="Q21" i="5" s="1"/>
  <c r="Q22" i="5" s="1"/>
  <c r="Q9" i="5"/>
  <c r="Q10" i="5" s="1"/>
  <c r="Q11" i="5" s="1"/>
  <c r="Q12" i="5" s="1"/>
  <c r="Q13" i="5" s="1"/>
  <c r="Q14" i="5" s="1"/>
  <c r="T41" i="5" l="1"/>
  <c r="T42" i="5" s="1"/>
  <c r="T17" i="5"/>
  <c r="T18" i="5" s="1"/>
  <c r="T19" i="5" s="1"/>
  <c r="T20" i="5" s="1"/>
  <c r="T21" i="5" s="1"/>
  <c r="T22" i="5" s="1"/>
  <c r="T9" i="5"/>
  <c r="T10" i="5" s="1"/>
  <c r="T11" i="5" s="1"/>
  <c r="T12" i="5" s="1"/>
  <c r="T13" i="5" s="1"/>
  <c r="T14" i="5" s="1"/>
  <c r="D14" i="6" l="1"/>
  <c r="O8" i="6"/>
  <c r="W41" i="5"/>
  <c r="W42" i="5" s="1"/>
  <c r="W17" i="5"/>
  <c r="W18" i="5" s="1"/>
  <c r="W19" i="5" s="1"/>
  <c r="W20" i="5" s="1"/>
  <c r="W21" i="5" s="1"/>
  <c r="W22" i="5" s="1"/>
  <c r="W9" i="5"/>
  <c r="W10" i="5" s="1"/>
  <c r="W11" i="5" s="1"/>
  <c r="W12" i="5" s="1"/>
  <c r="W13" i="5" s="1"/>
  <c r="W14" i="5" s="1"/>
  <c r="I11" i="6" l="1"/>
  <c r="H38" i="6"/>
  <c r="H37" i="6"/>
  <c r="H33" i="6"/>
  <c r="H36" i="6"/>
  <c r="H32" i="6"/>
  <c r="H34" i="6"/>
  <c r="H35" i="6"/>
  <c r="H31" i="6"/>
  <c r="M12" i="6" l="1"/>
  <c r="L12" i="6" s="1"/>
  <c r="G14" i="1"/>
  <c r="AI41" i="5"/>
  <c r="AI42" i="5" s="1"/>
  <c r="AF41" i="5"/>
  <c r="AF42" i="5" s="1"/>
  <c r="AC41" i="5"/>
  <c r="AC42" i="5" s="1"/>
  <c r="Z41" i="5"/>
  <c r="Z42" i="5" s="1"/>
  <c r="L52" i="6" l="1"/>
  <c r="L16" i="6" l="1"/>
  <c r="G28" i="6"/>
  <c r="L46" i="6"/>
  <c r="D21" i="6"/>
  <c r="I21" i="6" s="1"/>
  <c r="C28" i="6"/>
  <c r="I28" i="6" s="1"/>
  <c r="G27" i="6"/>
  <c r="D27" i="6"/>
  <c r="C27" i="6"/>
  <c r="I27" i="6" s="1"/>
  <c r="G26" i="6"/>
  <c r="D26" i="6"/>
  <c r="C26" i="6"/>
  <c r="G25" i="6"/>
  <c r="D25" i="6"/>
  <c r="C25" i="6"/>
  <c r="G24" i="6"/>
  <c r="D24" i="6"/>
  <c r="C24" i="6"/>
  <c r="G23" i="6"/>
  <c r="D23" i="6"/>
  <c r="C23" i="6"/>
  <c r="G22" i="6"/>
  <c r="E22" i="6"/>
  <c r="D22" i="6"/>
  <c r="C22" i="6"/>
  <c r="I22" i="6" s="1"/>
  <c r="G13" i="6"/>
  <c r="G14" i="6"/>
  <c r="G15" i="6"/>
  <c r="G16" i="6"/>
  <c r="G17" i="6"/>
  <c r="G18" i="6"/>
  <c r="G12" i="6"/>
  <c r="E12" i="6"/>
  <c r="D13" i="6"/>
  <c r="D15" i="6"/>
  <c r="D16" i="6"/>
  <c r="D17" i="6"/>
  <c r="C18" i="6"/>
  <c r="I18" i="6" s="1"/>
  <c r="C13" i="6"/>
  <c r="C14" i="6"/>
  <c r="I14" i="6" s="1"/>
  <c r="C15" i="6"/>
  <c r="C16" i="6"/>
  <c r="C17" i="6"/>
  <c r="D12" i="6"/>
  <c r="C12" i="6"/>
  <c r="AC9" i="5"/>
  <c r="AC10" i="5" s="1"/>
  <c r="AC11" i="5" s="1"/>
  <c r="AC12" i="5" s="1"/>
  <c r="AC13" i="5" s="1"/>
  <c r="AC14" i="5" s="1"/>
  <c r="AI17" i="5"/>
  <c r="AI18" i="5" s="1"/>
  <c r="AI19" i="5" s="1"/>
  <c r="AI20" i="5" s="1"/>
  <c r="AI21" i="5" s="1"/>
  <c r="AI22" i="5" s="1"/>
  <c r="AF17" i="5"/>
  <c r="AF18" i="5" s="1"/>
  <c r="AF19" i="5" s="1"/>
  <c r="AF20" i="5" s="1"/>
  <c r="AF21" i="5" s="1"/>
  <c r="AF22" i="5" s="1"/>
  <c r="AC17" i="5"/>
  <c r="AC18" i="5" s="1"/>
  <c r="AC19" i="5" s="1"/>
  <c r="AC20" i="5" s="1"/>
  <c r="AC21" i="5" s="1"/>
  <c r="AC22" i="5" s="1"/>
  <c r="Z17" i="5"/>
  <c r="Z18" i="5" s="1"/>
  <c r="Z19" i="5" s="1"/>
  <c r="Z20" i="5" s="1"/>
  <c r="Z21" i="5" s="1"/>
  <c r="Z22" i="5" s="1"/>
  <c r="Z9" i="5"/>
  <c r="Z10" i="5" s="1"/>
  <c r="Z11" i="5" s="1"/>
  <c r="Z12" i="5" s="1"/>
  <c r="Z13" i="5" s="1"/>
  <c r="Z14" i="5" s="1"/>
  <c r="AF9" i="5"/>
  <c r="AF10" i="5" s="1"/>
  <c r="AF11" i="5" s="1"/>
  <c r="AF12" i="5" s="1"/>
  <c r="AF13" i="5" s="1"/>
  <c r="AF14" i="5" s="1"/>
  <c r="AI9" i="5"/>
  <c r="AI10" i="5" s="1"/>
  <c r="AI11" i="5" s="1"/>
  <c r="AI12" i="5" s="1"/>
  <c r="AI13" i="5" s="1"/>
  <c r="AI14" i="5" s="1"/>
  <c r="I13" i="6" l="1"/>
  <c r="I15" i="6"/>
  <c r="I12" i="6"/>
  <c r="I23" i="6"/>
  <c r="I25" i="6"/>
  <c r="I26" i="6"/>
  <c r="I17" i="6"/>
  <c r="I16" i="6"/>
  <c r="I24" i="6"/>
  <c r="O48" i="6"/>
  <c r="N48" i="6" s="1"/>
  <c r="E18" i="6"/>
  <c r="H48" i="6"/>
  <c r="E28" i="6"/>
  <c r="H13" i="6"/>
  <c r="H12" i="6"/>
  <c r="H21" i="6"/>
  <c r="E16" i="6"/>
  <c r="E15" i="6"/>
  <c r="E17" i="6"/>
  <c r="E13" i="6"/>
  <c r="E23" i="6"/>
  <c r="E24" i="6"/>
  <c r="E25" i="6"/>
  <c r="E26" i="6"/>
  <c r="E27" i="6"/>
  <c r="E14" i="6"/>
  <c r="H28" i="6"/>
  <c r="H50" i="6"/>
  <c r="H49" i="6"/>
  <c r="H23" i="6"/>
  <c r="H22" i="6"/>
  <c r="H14" i="6"/>
  <c r="H17" i="6"/>
  <c r="H24" i="6"/>
  <c r="H18" i="6"/>
  <c r="H27" i="6"/>
  <c r="H15" i="6"/>
  <c r="H25" i="6"/>
  <c r="H16" i="6"/>
  <c r="H26" i="6"/>
  <c r="P11" i="6" l="1"/>
  <c r="O11" i="6" s="1"/>
  <c r="P10" i="6"/>
  <c r="O10" i="6" s="1"/>
  <c r="M48" i="6"/>
  <c r="L48" i="6" s="1"/>
  <c r="M10" i="6"/>
  <c r="L10" i="6" s="1"/>
  <c r="M11" i="6"/>
  <c r="J9" i="9" l="1"/>
  <c r="J10" i="9" s="1"/>
  <c r="J12" i="9" s="1"/>
  <c r="L11" i="6"/>
  <c r="G17" i="1"/>
  <c r="J9" i="1" l="1"/>
  <c r="J10" i="1" s="1"/>
  <c r="J12" i="1" s="1"/>
  <c r="L17" i="6" l="1"/>
  <c r="R22" i="6" s="1"/>
  <c r="K20" i="6"/>
  <c r="R23" i="6" l="1"/>
  <c r="R20" i="6"/>
  <c r="R21" i="6"/>
  <c r="G15" i="1"/>
  <c r="K56" i="6" l="1"/>
  <c r="L53" i="6"/>
  <c r="R56" i="6" l="1"/>
  <c r="G18" i="1" s="1"/>
  <c r="R58" i="6"/>
  <c r="R57" i="6"/>
  <c r="R5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Benjamin Castonguay</author>
  </authors>
  <commentList>
    <comment ref="K4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Benjamin Castonguay:</t>
        </r>
        <r>
          <rPr>
            <sz val="9"/>
            <color indexed="81"/>
            <rFont val="Tahoma"/>
            <family val="2"/>
          </rPr>
          <t xml:space="preserve">
(Gross Monthly Pension*12)-(Exemptions*Number of State Exemptions)</t>
        </r>
      </text>
    </comment>
    <comment ref="K4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Benjamin Castonguay:</t>
        </r>
        <r>
          <rPr>
            <sz val="9"/>
            <color indexed="81"/>
            <rFont val="Tahoma"/>
            <family val="2"/>
          </rPr>
          <t xml:space="preserve">
((Taxable Amount - OVER)*Percentage + Withhold)/12</t>
        </r>
      </text>
    </comment>
  </commentList>
</comments>
</file>

<file path=xl/sharedStrings.xml><?xml version="1.0" encoding="utf-8"?>
<sst xmlns="http://schemas.openxmlformats.org/spreadsheetml/2006/main" count="299" uniqueCount="111">
  <si>
    <t>Enter your gross monthly pension below, then fill in your current Federal and RI withholding elections.</t>
  </si>
  <si>
    <t>If you have a desired withholding amount for either Federal or RI, enter that and a message will indicate</t>
  </si>
  <si>
    <t>what you should adjust in order to have that withholding amount taken from your monthly pension.</t>
  </si>
  <si>
    <t>Gross Monthly Pension</t>
  </si>
  <si>
    <t>Federal Elections:</t>
  </si>
  <si>
    <t xml:space="preserve">   Federal Withholding</t>
  </si>
  <si>
    <t xml:space="preserve">   RI State Withholding</t>
  </si>
  <si>
    <t xml:space="preserve">   Number of Exemptions</t>
  </si>
  <si>
    <t>Net Pay (excl other deductions)</t>
  </si>
  <si>
    <t>RI Elections:</t>
  </si>
  <si>
    <t>Desired Monthly Federal Withholding</t>
  </si>
  <si>
    <t>Desired Monthly RI Withholding</t>
  </si>
  <si>
    <t>Single Withholding</t>
  </si>
  <si>
    <t>Married Withholding</t>
  </si>
  <si>
    <t>Exemptions</t>
  </si>
  <si>
    <t>Single</t>
  </si>
  <si>
    <t>Married</t>
  </si>
  <si>
    <t>Federal</t>
  </si>
  <si>
    <t xml:space="preserve"> </t>
  </si>
  <si>
    <t>Federal Taxes</t>
  </si>
  <si>
    <t>Over</t>
  </si>
  <si>
    <t>Plus %</t>
  </si>
  <si>
    <t>To Withhold</t>
  </si>
  <si>
    <t>In the following link :</t>
  </si>
  <si>
    <t>https://www.irs.gov/pub/irs-pdf</t>
  </si>
  <si>
    <t>Updates the following field in the "Data" tab</t>
  </si>
  <si>
    <t xml:space="preserve">Exemptions : </t>
  </si>
  <si>
    <t>Repeat for "(b) MARRIED person"</t>
  </si>
  <si>
    <t>SINGLE</t>
  </si>
  <si>
    <t>MARRIED</t>
  </si>
  <si>
    <t xml:space="preserve">Under "(a) SINGLE person" fill the "Over" and "Plus %" columns </t>
  </si>
  <si>
    <t>Years</t>
  </si>
  <si>
    <t>State Taxes</t>
  </si>
  <si>
    <t>Employee</t>
  </si>
  <si>
    <t>Search for : YYYY Rhode Island Employer's Income Tax Withholding Tables</t>
  </si>
  <si>
    <t>Example : "2018 Rhode Island Employer's Income Tax Withholding Tables"</t>
  </si>
  <si>
    <t>Single and Married</t>
  </si>
  <si>
    <t>Look for : "TABLE 7 - ANNUAL PAYROLL PERIOD" under the "YYYY RI WITHHOLDING TABLES" section</t>
  </si>
  <si>
    <t>Look for : "WITHHOLDING TAX EXEMPTION AMOUNTS"</t>
  </si>
  <si>
    <t>Look for : "Table 5. Percentage Method-2018 for One Withholding Allowance"</t>
  </si>
  <si>
    <t>But not over</t>
  </si>
  <si>
    <t>Withhold</t>
  </si>
  <si>
    <t xml:space="preserve">plus </t>
  </si>
  <si>
    <t>Percentage</t>
  </si>
  <si>
    <t>State</t>
  </si>
  <si>
    <t>http://www.tax.ri.gov/</t>
  </si>
  <si>
    <t>Used Data</t>
  </si>
  <si>
    <t>Calculation</t>
  </si>
  <si>
    <t>Used Range</t>
  </si>
  <si>
    <t>Taxable Amount</t>
  </si>
  <si>
    <t>Tax Year Calculation</t>
  </si>
  <si>
    <t>Employee Withholding</t>
  </si>
  <si>
    <t>Federal Withholding</t>
  </si>
  <si>
    <t>State Withholding</t>
  </si>
  <si>
    <t>Change to have Desired Federal Withholding:</t>
  </si>
  <si>
    <t>Desired Withholding</t>
  </si>
  <si>
    <t>Actual Withholding</t>
  </si>
  <si>
    <t>Calculated Federal Withholding matches Desired Amount</t>
  </si>
  <si>
    <t>Decrease Additional Withholding for Federal Elections</t>
  </si>
  <si>
    <t>Increase Federal Number of Exemptions until calculated Federal Withholding is less than desired</t>
  </si>
  <si>
    <t>Message</t>
  </si>
  <si>
    <t>Condition</t>
  </si>
  <si>
    <t>Change to have Desired State Withholding:</t>
  </si>
  <si>
    <t>Calculated RI Withholding matches Desired Amount</t>
  </si>
  <si>
    <t>Decrease Additional Withholding for RI Elections</t>
  </si>
  <si>
    <t>Increase RI Number of Exemptions until calculated RI Withholding is less than desired</t>
  </si>
  <si>
    <t>Data Tab</t>
  </si>
  <si>
    <t>TaxCalculation Tab</t>
  </si>
  <si>
    <t>Update the File for a New Year</t>
  </si>
  <si>
    <t>Change the range of the three "tbl_..." variables from this file so they include the new year</t>
  </si>
  <si>
    <t>In the "Data" Tab, select the 3 columns from last year (Over, Plus% and To Withhold), copy and then click on "Insert Copied Cells"</t>
  </si>
  <si>
    <t>Change the year value and erase the data in the yellow cells for that specific year only (Over, Plus% and Exception)</t>
  </si>
  <si>
    <t>To do so, click on "Formulas - Name Manager" and change the Reference Cells of the "tbl_FedTaxData", "tbl_StateTaxData" and "tbl_Years" variables</t>
  </si>
  <si>
    <t>*Note: The PDF might be in the second page.</t>
  </si>
  <si>
    <t>The "Annually" amount in this Table should be used to fill the "Federal Taxes - Exemption" value in the "Data" Tab</t>
  </si>
  <si>
    <t>Validate that the amounts in the column "To Withhold" fits with the one from the Table 7 (the amount associated with the percentage)</t>
  </si>
  <si>
    <t>The "Annually" amount in this Table should be used to fill the "State Taxes - Exemption" value in the "Data" Tab</t>
  </si>
  <si>
    <t>Fill the "Over" and "Plus %" columns accordingly</t>
  </si>
  <si>
    <t>*Note that there is no distinction between Single and Married for RI Taxes</t>
  </si>
  <si>
    <t>Validate that the amounts in the column "To Withhold" fits with the one from the above table (the amount associated with the percentage)</t>
  </si>
  <si>
    <t>Update the "Tax Year Calculation" value in the "TaxCalculation" tab</t>
  </si>
  <si>
    <t>Last Steps</t>
  </si>
  <si>
    <t>Hide the blue tabs</t>
  </si>
  <si>
    <t xml:space="preserve">Lock the Tax_Calculator tab in "Reviews - Protect Sheet" </t>
  </si>
  <si>
    <t>Lock the file in "Reviews - Protect Workbook"</t>
  </si>
  <si>
    <t>*Unselect the first option</t>
  </si>
  <si>
    <t>Look for : "Worksheet 5. Employer’s Withholding Worksheet for
Percentage Method Tables for Manual Payroll Systems
With Forms W-4 From 2019 or Earlier"</t>
  </si>
  <si>
    <t>Search for : YYYY Publ 15-T (PDF)</t>
  </si>
  <si>
    <t>Example : "2018 Publ 15-T(PDF)"</t>
  </si>
  <si>
    <t>Look for : "Percentage Method Tables for Automated Payroll Systems" table under "STANDARD Withholding Rate Schedules"</t>
  </si>
  <si>
    <t>Head of household</t>
  </si>
  <si>
    <t xml:space="preserve">   Marital Status</t>
  </si>
  <si>
    <t>HEAD OF HOUSEHOLD</t>
  </si>
  <si>
    <t>Head of Household</t>
  </si>
  <si>
    <t xml:space="preserve">   Additional Withholding</t>
  </si>
  <si>
    <t xml:space="preserve">   Total W-2 Income and Additional Pension</t>
  </si>
  <si>
    <t xml:space="preserve">   Other Income</t>
  </si>
  <si>
    <t xml:space="preserve">   Deductions</t>
  </si>
  <si>
    <t>Filling status deduction</t>
  </si>
  <si>
    <t>Otherwise</t>
  </si>
  <si>
    <t>HoH Withholding</t>
  </si>
  <si>
    <t>(old sheet)</t>
  </si>
  <si>
    <t>Used Range (old)</t>
  </si>
  <si>
    <t xml:space="preserve">Based on the former calculation of the federal tax withholding. </t>
  </si>
  <si>
    <t>Other income</t>
  </si>
  <si>
    <t>Deductions</t>
  </si>
  <si>
    <t xml:space="preserve">   Dependent and Other Credits</t>
  </si>
  <si>
    <t>Additional Withholding</t>
  </si>
  <si>
    <t>Computational bridge</t>
  </si>
  <si>
    <t>Single or Married filing separately</t>
  </si>
  <si>
    <t>Married filing jointly or Qualifying widow(er)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</si>
</sst>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$&quot;"/>
    <numFmt numFmtId="165" formatCode="[$$-409]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31">
    <xf numFmtId="0" fontId="0" fillId="0" borderId="0" xfId="0"/>
    <xf numFmtId="0" fontId="2" fillId="0" borderId="0" xfId="2"/>
    <xf numFmtId="0" fontId="3" fillId="0" borderId="0" xfId="2" applyFont="1"/>
    <xf numFmtId="0" fontId="4" fillId="0" borderId="0" xfId="2" applyFont="1"/>
    <xf numFmtId="43" fontId="4" fillId="0" borderId="0" xfId="3" applyFont="1" applyFill="1" applyBorder="1"/>
    <xf numFmtId="43" fontId="3" fillId="0" borderId="0" xfId="2" applyNumberFormat="1" applyFont="1"/>
    <xf numFmtId="1" fontId="2" fillId="0" borderId="0" xfId="2" applyNumberFormat="1"/>
    <xf numFmtId="43" fontId="2" fillId="2" borderId="0" xfId="3" applyFill="1" applyProtection="1">
      <protection locked="0"/>
    </xf>
    <xf numFmtId="1" fontId="2" fillId="2" borderId="0" xfId="2" applyNumberFormat="1" applyFill="1" applyProtection="1">
      <protection locked="0"/>
    </xf>
    <xf numFmtId="43" fontId="2" fillId="0" borderId="0" xfId="2" applyNumberFormat="1"/>
    <xf numFmtId="0" fontId="2" fillId="0" borderId="0" xfId="1" applyNumberFormat="1" applyFont="1"/>
    <xf numFmtId="43" fontId="2" fillId="2" borderId="0" xfId="2" applyNumberFormat="1" applyFill="1" applyAlignment="1" applyProtection="1">
      <alignment horizontal="right"/>
      <protection locked="0"/>
    </xf>
    <xf numFmtId="0" fontId="0" fillId="0" borderId="0" xfId="0" quotePrefix="1"/>
    <xf numFmtId="0" fontId="0" fillId="0" borderId="0" xfId="0" applyAlignment="1">
      <alignment horizontal="center"/>
    </xf>
    <xf numFmtId="165" fontId="0" fillId="0" borderId="0" xfId="0" applyNumberFormat="1"/>
    <xf numFmtId="0" fontId="9" fillId="0" borderId="0" xfId="0" applyFont="1"/>
    <xf numFmtId="0" fontId="6" fillId="0" borderId="0" xfId="0" applyFont="1"/>
    <xf numFmtId="164" fontId="0" fillId="0" borderId="17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64" fontId="0" fillId="7" borderId="17" xfId="0" applyNumberFormat="1" applyFill="1" applyBorder="1" applyAlignment="1">
      <alignment horizontal="center"/>
    </xf>
    <xf numFmtId="10" fontId="0" fillId="7" borderId="10" xfId="0" applyNumberFormat="1" applyFill="1" applyBorder="1" applyAlignment="1">
      <alignment horizontal="center"/>
    </xf>
    <xf numFmtId="164" fontId="0" fillId="7" borderId="19" xfId="0" applyNumberFormat="1" applyFill="1" applyBorder="1" applyAlignment="1">
      <alignment horizontal="center"/>
    </xf>
    <xf numFmtId="10" fontId="0" fillId="7" borderId="9" xfId="0" applyNumberFormat="1" applyFill="1" applyBorder="1" applyAlignment="1">
      <alignment horizontal="center"/>
    </xf>
    <xf numFmtId="164" fontId="0" fillId="7" borderId="21" xfId="0" applyNumberFormat="1" applyFill="1" applyBorder="1" applyAlignment="1">
      <alignment horizontal="center"/>
    </xf>
    <xf numFmtId="10" fontId="0" fillId="7" borderId="22" xfId="0" applyNumberForma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 wrapText="1"/>
    </xf>
    <xf numFmtId="0" fontId="6" fillId="6" borderId="13" xfId="0" applyFont="1" applyFill="1" applyBorder="1" applyAlignment="1">
      <alignment horizontal="center"/>
    </xf>
    <xf numFmtId="164" fontId="6" fillId="6" borderId="24" xfId="0" applyNumberFormat="1" applyFont="1" applyFill="1" applyBorder="1" applyAlignment="1">
      <alignment horizontal="center"/>
    </xf>
    <xf numFmtId="164" fontId="6" fillId="6" borderId="25" xfId="0" applyNumberFormat="1" applyFont="1" applyFill="1" applyBorder="1" applyAlignment="1">
      <alignment horizontal="center" wrapText="1"/>
    </xf>
    <xf numFmtId="164" fontId="6" fillId="6" borderId="26" xfId="0" applyNumberFormat="1" applyFont="1" applyFill="1" applyBorder="1" applyAlignment="1">
      <alignment horizontal="center"/>
    </xf>
    <xf numFmtId="0" fontId="11" fillId="0" borderId="0" xfId="0" applyFont="1"/>
    <xf numFmtId="0" fontId="7" fillId="5" borderId="2" xfId="0" applyFont="1" applyFill="1" applyBorder="1"/>
    <xf numFmtId="0" fontId="7" fillId="5" borderId="3" xfId="0" applyFont="1" applyFill="1" applyBorder="1"/>
    <xf numFmtId="0" fontId="7" fillId="5" borderId="4" xfId="0" applyFont="1" applyFill="1" applyBorder="1"/>
    <xf numFmtId="0" fontId="7" fillId="5" borderId="3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7" fillId="5" borderId="1" xfId="0" applyFont="1" applyFill="1" applyBorder="1"/>
    <xf numFmtId="0" fontId="6" fillId="6" borderId="12" xfId="0" applyFont="1" applyFill="1" applyBorder="1" applyAlignment="1">
      <alignment horizontal="center"/>
    </xf>
    <xf numFmtId="164" fontId="6" fillId="6" borderId="11" xfId="0" applyNumberFormat="1" applyFont="1" applyFill="1" applyBorder="1" applyAlignment="1">
      <alignment horizontal="center"/>
    </xf>
    <xf numFmtId="164" fontId="6" fillId="6" borderId="12" xfId="0" applyNumberFormat="1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10" fontId="6" fillId="0" borderId="18" xfId="0" applyNumberFormat="1" applyFont="1" applyBorder="1" applyAlignment="1">
      <alignment horizontal="left"/>
    </xf>
    <xf numFmtId="164" fontId="6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10" fontId="6" fillId="0" borderId="20" xfId="0" applyNumberFormat="1" applyFont="1" applyBorder="1" applyAlignment="1">
      <alignment horizontal="left"/>
    </xf>
    <xf numFmtId="164" fontId="6" fillId="0" borderId="22" xfId="0" applyNumberFormat="1" applyFont="1" applyBorder="1" applyAlignment="1">
      <alignment horizontal="right"/>
    </xf>
    <xf numFmtId="0" fontId="6" fillId="0" borderId="22" xfId="0" applyFont="1" applyBorder="1" applyAlignment="1">
      <alignment horizontal="center"/>
    </xf>
    <xf numFmtId="10" fontId="6" fillId="0" borderId="23" xfId="0" applyNumberFormat="1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8" fillId="0" borderId="0" xfId="0" applyFont="1"/>
    <xf numFmtId="164" fontId="0" fillId="0" borderId="4" xfId="0" applyNumberFormat="1" applyBorder="1"/>
    <xf numFmtId="0" fontId="6" fillId="6" borderId="14" xfId="0" applyFont="1" applyFill="1" applyBorder="1" applyAlignment="1">
      <alignment horizontal="center"/>
    </xf>
    <xf numFmtId="10" fontId="6" fillId="0" borderId="15" xfId="0" applyNumberFormat="1" applyFont="1" applyBorder="1" applyAlignment="1">
      <alignment horizontal="left"/>
    </xf>
    <xf numFmtId="10" fontId="6" fillId="0" borderId="16" xfId="0" applyNumberFormat="1" applyFont="1" applyBorder="1" applyAlignment="1">
      <alignment horizontal="left"/>
    </xf>
    <xf numFmtId="10" fontId="6" fillId="0" borderId="33" xfId="0" applyNumberFormat="1" applyFont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0" xfId="0" applyFont="1"/>
    <xf numFmtId="164" fontId="0" fillId="0" borderId="8" xfId="0" applyNumberFormat="1" applyBorder="1"/>
    <xf numFmtId="0" fontId="7" fillId="5" borderId="29" xfId="0" applyFont="1" applyFill="1" applyBorder="1"/>
    <xf numFmtId="0" fontId="0" fillId="7" borderId="4" xfId="0" applyFill="1" applyBorder="1" applyAlignment="1">
      <alignment horizontal="center"/>
    </xf>
    <xf numFmtId="10" fontId="0" fillId="7" borderId="44" xfId="0" applyNumberFormat="1" applyFill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0" fillId="7" borderId="43" xfId="0" applyNumberFormat="1" applyFill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/>
    </xf>
    <xf numFmtId="0" fontId="18" fillId="0" borderId="0" xfId="4"/>
    <xf numFmtId="0" fontId="0" fillId="0" borderId="0" xfId="0" applyAlignment="1">
      <alignment wrapText="1"/>
    </xf>
    <xf numFmtId="164" fontId="6" fillId="0" borderId="0" xfId="0" applyNumberFormat="1" applyFont="1" applyAlignment="1">
      <alignment horizontal="right"/>
    </xf>
    <xf numFmtId="10" fontId="6" fillId="0" borderId="0" xfId="0" applyNumberFormat="1" applyFont="1" applyAlignment="1">
      <alignment horizontal="left"/>
    </xf>
    <xf numFmtId="164" fontId="0" fillId="7" borderId="1" xfId="0" applyNumberFormat="1" applyFill="1" applyBorder="1" applyAlignment="1">
      <alignment horizontal="center"/>
    </xf>
    <xf numFmtId="164" fontId="6" fillId="6" borderId="1" xfId="0" applyNumberFormat="1" applyFont="1" applyFill="1" applyBorder="1" applyAlignment="1">
      <alignment horizontal="center"/>
    </xf>
    <xf numFmtId="43" fontId="2" fillId="0" borderId="0" xfId="3" applyFont="1" applyFill="1" applyBorder="1"/>
    <xf numFmtId="164" fontId="0" fillId="0" borderId="1" xfId="0" applyNumberFormat="1" applyBorder="1"/>
    <xf numFmtId="0" fontId="0" fillId="8" borderId="0" xfId="0" applyFill="1"/>
    <xf numFmtId="0" fontId="20" fillId="0" borderId="0" xfId="2" applyFont="1"/>
    <xf numFmtId="0" fontId="3" fillId="0" borderId="0" xfId="2" applyFont="1" applyAlignment="1">
      <alignment horizontal="center" vertical="top" wrapText="1"/>
    </xf>
    <xf numFmtId="0" fontId="5" fillId="0" borderId="0" xfId="2" applyFont="1" applyAlignment="1">
      <alignment horizontal="center" wrapText="1"/>
    </xf>
    <xf numFmtId="0" fontId="2" fillId="0" borderId="0" xfId="2" applyAlignment="1">
      <alignment horizontal="center"/>
    </xf>
    <xf numFmtId="0" fontId="4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3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65" fontId="0" fillId="7" borderId="11" xfId="0" applyNumberFormat="1" applyFill="1" applyBorder="1" applyAlignment="1">
      <alignment horizontal="center"/>
    </xf>
    <xf numFmtId="165" fontId="0" fillId="7" borderId="12" xfId="0" applyNumberFormat="1" applyFill="1" applyBorder="1" applyAlignment="1">
      <alignment horizontal="center"/>
    </xf>
    <xf numFmtId="165" fontId="0" fillId="7" borderId="13" xfId="0" applyNumberFormat="1" applyFill="1" applyBorder="1" applyAlignment="1">
      <alignment horizontal="center"/>
    </xf>
    <xf numFmtId="0" fontId="7" fillId="5" borderId="5" xfId="0" applyFont="1" applyFill="1" applyBorder="1" applyAlignment="1">
      <alignment horizontal="center" vertical="center" textRotation="90"/>
    </xf>
    <xf numFmtId="0" fontId="7" fillId="5" borderId="6" xfId="0" applyFont="1" applyFill="1" applyBorder="1" applyAlignment="1">
      <alignment horizontal="center" vertical="center" textRotation="90"/>
    </xf>
    <xf numFmtId="0" fontId="7" fillId="5" borderId="7" xfId="0" applyFont="1" applyFill="1" applyBorder="1" applyAlignment="1">
      <alignment horizontal="center" vertical="center" textRotation="90"/>
    </xf>
    <xf numFmtId="0" fontId="7" fillId="5" borderId="27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 textRotation="90"/>
    </xf>
    <xf numFmtId="0" fontId="7" fillId="5" borderId="28" xfId="0" applyFont="1" applyFill="1" applyBorder="1" applyAlignment="1">
      <alignment horizontal="center" vertical="center" textRotation="90"/>
    </xf>
    <xf numFmtId="0" fontId="7" fillId="5" borderId="29" xfId="0" applyFont="1" applyFill="1" applyBorder="1" applyAlignment="1">
      <alignment horizontal="center" vertical="center" textRotation="90"/>
    </xf>
    <xf numFmtId="0" fontId="0" fillId="0" borderId="30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7" fillId="5" borderId="2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5" borderId="30" xfId="0" applyFont="1" applyFill="1" applyBorder="1" applyAlignment="1">
      <alignment horizontal="center" vertical="center" textRotation="90"/>
    </xf>
    <xf numFmtId="0" fontId="7" fillId="5" borderId="31" xfId="0" applyFont="1" applyFill="1" applyBorder="1" applyAlignment="1">
      <alignment horizontal="center" vertical="center" textRotation="90"/>
    </xf>
    <xf numFmtId="0" fontId="7" fillId="5" borderId="32" xfId="0" applyFont="1" applyFill="1" applyBorder="1" applyAlignment="1">
      <alignment horizontal="center" vertical="center" textRotation="90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</cellXfs>
  <cellStyles count="5">
    <cellStyle name="Comma 2" xfId="3" xr:uid="{00000000-0005-0000-0000-000000000000}"/>
    <cellStyle name="Currency" xfId="1" builtinId="4"/>
    <cellStyle name="Hyperlink" xfId="4" builtinId="8"/>
    <cellStyle name="Normal" xfId="0" builtinId="0"/>
    <cellStyle name="Normal 2" xfId="2" xr:uid="{00000000-0005-0000-0000-000004000000}"/>
  </cellStyles>
  <dxfs count="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39</xdr:row>
      <xdr:rowOff>19050</xdr:rowOff>
    </xdr:from>
    <xdr:to>
      <xdr:col>7</xdr:col>
      <xdr:colOff>123825</xdr:colOff>
      <xdr:row>52</xdr:row>
      <xdr:rowOff>66675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067050"/>
          <a:ext cx="3933825" cy="2524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57</xdr:row>
      <xdr:rowOff>47625</xdr:rowOff>
    </xdr:from>
    <xdr:to>
      <xdr:col>15</xdr:col>
      <xdr:colOff>581025</xdr:colOff>
      <xdr:row>70</xdr:row>
      <xdr:rowOff>133350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6524625"/>
          <a:ext cx="10458450" cy="2562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88</xdr:row>
      <xdr:rowOff>28575</xdr:rowOff>
    </xdr:from>
    <xdr:to>
      <xdr:col>6</xdr:col>
      <xdr:colOff>323850</xdr:colOff>
      <xdr:row>101</xdr:row>
      <xdr:rowOff>123825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2458700"/>
          <a:ext cx="3343275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</xdr:colOff>
      <xdr:row>107</xdr:row>
      <xdr:rowOff>47625</xdr:rowOff>
    </xdr:from>
    <xdr:to>
      <xdr:col>8</xdr:col>
      <xdr:colOff>514350</xdr:colOff>
      <xdr:row>118</xdr:row>
      <xdr:rowOff>104775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5906750"/>
          <a:ext cx="5057775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66675</xdr:rowOff>
    </xdr:from>
    <xdr:to>
      <xdr:col>9</xdr:col>
      <xdr:colOff>285015</xdr:colOff>
      <xdr:row>24</xdr:row>
      <xdr:rowOff>133270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5275" y="1866900"/>
          <a:ext cx="5885715" cy="638095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7</xdr:row>
      <xdr:rowOff>66675</xdr:rowOff>
    </xdr:from>
    <xdr:to>
      <xdr:col>9</xdr:col>
      <xdr:colOff>37393</xdr:colOff>
      <xdr:row>17</xdr:row>
      <xdr:rowOff>133104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76225" y="1485900"/>
          <a:ext cx="5657143" cy="1971429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133</xdr:row>
      <xdr:rowOff>28575</xdr:rowOff>
    </xdr:from>
    <xdr:to>
      <xdr:col>5</xdr:col>
      <xdr:colOff>714005</xdr:colOff>
      <xdr:row>142</xdr:row>
      <xdr:rowOff>123599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0075" y="25488900"/>
          <a:ext cx="2961905" cy="18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304800</xdr:colOff>
      <xdr:row>144</xdr:row>
      <xdr:rowOff>38100</xdr:rowOff>
    </xdr:from>
    <xdr:to>
      <xdr:col>5</xdr:col>
      <xdr:colOff>294951</xdr:colOff>
      <xdr:row>152</xdr:row>
      <xdr:rowOff>9338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52450" y="27593925"/>
          <a:ext cx="2590476" cy="1495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TL-FS03\Clients$\m_r\Rhode%20Island%20(ERSRI)\Impartition_5900\Impartition\Employee%20Portal\Tax%20Calculator\Tax_Calculator_YYY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_Calculator"/>
      <sheetName val="Data"/>
      <sheetName val="TaxCalculation"/>
      <sheetName val="Update"/>
    </sheetNames>
    <sheetDataSet>
      <sheetData sheetId="0"/>
      <sheetData sheetId="1">
        <row r="3">
          <cell r="C3">
            <v>2021</v>
          </cell>
          <cell r="F3">
            <v>2020</v>
          </cell>
          <cell r="I3">
            <v>2019</v>
          </cell>
          <cell r="L3">
            <v>2018</v>
          </cell>
          <cell r="O3">
            <v>2017</v>
          </cell>
          <cell r="R3">
            <v>2016</v>
          </cell>
          <cell r="U3">
            <v>2015</v>
          </cell>
        </row>
        <row r="4">
          <cell r="C4">
            <v>4300</v>
          </cell>
          <cell r="F4">
            <v>4300</v>
          </cell>
          <cell r="I4">
            <v>4200</v>
          </cell>
          <cell r="L4">
            <v>4150</v>
          </cell>
          <cell r="O4">
            <v>4050</v>
          </cell>
          <cell r="R4">
            <v>4050</v>
          </cell>
          <cell r="U4">
            <v>4000</v>
          </cell>
        </row>
        <row r="5">
          <cell r="C5" t="str">
            <v>Over</v>
          </cell>
          <cell r="D5" t="str">
            <v>Plus %</v>
          </cell>
          <cell r="E5" t="str">
            <v>To Withhold</v>
          </cell>
          <cell r="F5" t="str">
            <v>Over</v>
          </cell>
          <cell r="G5" t="str">
            <v>Plus %</v>
          </cell>
          <cell r="H5" t="str">
            <v>To Withhold</v>
          </cell>
          <cell r="I5" t="str">
            <v>Over</v>
          </cell>
          <cell r="J5" t="str">
            <v>Plus %</v>
          </cell>
          <cell r="K5" t="str">
            <v>To Withhold</v>
          </cell>
          <cell r="L5" t="str">
            <v>Over</v>
          </cell>
          <cell r="M5" t="str">
            <v>Plus %</v>
          </cell>
          <cell r="N5" t="str">
            <v>To Withhold</v>
          </cell>
          <cell r="O5" t="str">
            <v>Over</v>
          </cell>
          <cell r="P5" t="str">
            <v>Plus %</v>
          </cell>
          <cell r="Q5" t="str">
            <v>To Withhold</v>
          </cell>
          <cell r="R5" t="str">
            <v>Over</v>
          </cell>
          <cell r="S5" t="str">
            <v>Plus %</v>
          </cell>
          <cell r="T5" t="str">
            <v>To Withhold</v>
          </cell>
          <cell r="U5" t="str">
            <v>Over</v>
          </cell>
          <cell r="V5" t="str">
            <v>Plus %</v>
          </cell>
          <cell r="W5" t="str">
            <v>To Withhold</v>
          </cell>
        </row>
        <row r="6">
          <cell r="C6">
            <v>3950</v>
          </cell>
          <cell r="D6">
            <v>0.1</v>
          </cell>
          <cell r="E6">
            <v>0</v>
          </cell>
          <cell r="F6">
            <v>3800</v>
          </cell>
          <cell r="G6">
            <v>0.1</v>
          </cell>
          <cell r="H6">
            <v>0</v>
          </cell>
          <cell r="I6">
            <v>3800</v>
          </cell>
          <cell r="J6">
            <v>0.1</v>
          </cell>
          <cell r="K6">
            <v>0</v>
          </cell>
          <cell r="L6">
            <v>3700</v>
          </cell>
          <cell r="M6">
            <v>0.1</v>
          </cell>
          <cell r="N6">
            <v>0</v>
          </cell>
          <cell r="O6">
            <v>2300</v>
          </cell>
          <cell r="P6">
            <v>0.1</v>
          </cell>
          <cell r="Q6">
            <v>0</v>
          </cell>
          <cell r="R6">
            <v>2250</v>
          </cell>
          <cell r="S6">
            <v>0.1</v>
          </cell>
          <cell r="T6">
            <v>0</v>
          </cell>
          <cell r="U6">
            <v>2300</v>
          </cell>
          <cell r="V6">
            <v>0.1</v>
          </cell>
          <cell r="W6">
            <v>0</v>
          </cell>
        </row>
        <row r="7">
          <cell r="C7">
            <v>13900</v>
          </cell>
          <cell r="D7">
            <v>0.12</v>
          </cell>
          <cell r="E7">
            <v>995</v>
          </cell>
          <cell r="F7">
            <v>13675</v>
          </cell>
          <cell r="G7">
            <v>0.12</v>
          </cell>
          <cell r="H7">
            <v>987.5</v>
          </cell>
          <cell r="I7">
            <v>13500</v>
          </cell>
          <cell r="J7">
            <v>0.12</v>
          </cell>
          <cell r="K7">
            <v>970</v>
          </cell>
          <cell r="L7">
            <v>13225</v>
          </cell>
          <cell r="M7">
            <v>0.12</v>
          </cell>
          <cell r="N7">
            <v>952.5</v>
          </cell>
          <cell r="O7">
            <v>11625</v>
          </cell>
          <cell r="P7">
            <v>0.15</v>
          </cell>
          <cell r="Q7">
            <v>932.5</v>
          </cell>
          <cell r="R7">
            <v>11525</v>
          </cell>
          <cell r="S7">
            <v>0.15</v>
          </cell>
          <cell r="T7">
            <v>927.5</v>
          </cell>
          <cell r="U7">
            <v>11525</v>
          </cell>
          <cell r="V7">
            <v>0.15</v>
          </cell>
          <cell r="W7">
            <v>922.5</v>
          </cell>
        </row>
        <row r="8">
          <cell r="C8">
            <v>44475</v>
          </cell>
          <cell r="D8">
            <v>0.22</v>
          </cell>
          <cell r="E8">
            <v>4664</v>
          </cell>
          <cell r="F8">
            <v>43925</v>
          </cell>
          <cell r="G8">
            <v>0.22</v>
          </cell>
          <cell r="H8">
            <v>4617.5</v>
          </cell>
          <cell r="I8">
            <v>43275</v>
          </cell>
          <cell r="J8">
            <v>0.22</v>
          </cell>
          <cell r="K8">
            <v>4543</v>
          </cell>
          <cell r="L8">
            <v>42400</v>
          </cell>
          <cell r="M8">
            <v>0.22</v>
          </cell>
          <cell r="N8">
            <v>4453.5</v>
          </cell>
          <cell r="O8">
            <v>40250</v>
          </cell>
          <cell r="P8">
            <v>0.25</v>
          </cell>
          <cell r="Q8">
            <v>5226.25</v>
          </cell>
          <cell r="R8">
            <v>39900</v>
          </cell>
          <cell r="S8">
            <v>0.25</v>
          </cell>
          <cell r="T8">
            <v>5183.75</v>
          </cell>
          <cell r="U8">
            <v>39750</v>
          </cell>
          <cell r="V8">
            <v>0.25</v>
          </cell>
          <cell r="W8">
            <v>5156.25</v>
          </cell>
        </row>
        <row r="9">
          <cell r="C9">
            <v>90325</v>
          </cell>
          <cell r="D9">
            <v>0.24</v>
          </cell>
          <cell r="E9">
            <v>14751</v>
          </cell>
          <cell r="F9">
            <v>89325</v>
          </cell>
          <cell r="G9">
            <v>0.24</v>
          </cell>
          <cell r="H9">
            <v>14605.5</v>
          </cell>
          <cell r="I9">
            <v>88000</v>
          </cell>
          <cell r="J9">
            <v>0.24</v>
          </cell>
          <cell r="K9">
            <v>14382.5</v>
          </cell>
          <cell r="L9">
            <v>86200</v>
          </cell>
          <cell r="M9">
            <v>0.24</v>
          </cell>
          <cell r="N9">
            <v>14089.5</v>
          </cell>
          <cell r="O9">
            <v>94200</v>
          </cell>
          <cell r="P9">
            <v>0.28000000000000003</v>
          </cell>
          <cell r="Q9">
            <v>18713.75</v>
          </cell>
          <cell r="R9">
            <v>93400</v>
          </cell>
          <cell r="S9">
            <v>0.28000000000000003</v>
          </cell>
          <cell r="T9">
            <v>18558.75</v>
          </cell>
          <cell r="U9">
            <v>93050</v>
          </cell>
          <cell r="V9">
            <v>0.28000000000000003</v>
          </cell>
          <cell r="W9">
            <v>18481.25</v>
          </cell>
        </row>
        <row r="10">
          <cell r="C10">
            <v>168875</v>
          </cell>
          <cell r="D10">
            <v>0.32</v>
          </cell>
          <cell r="E10">
            <v>33603</v>
          </cell>
          <cell r="F10">
            <v>167100</v>
          </cell>
          <cell r="G10">
            <v>0.32</v>
          </cell>
          <cell r="H10">
            <v>33271.5</v>
          </cell>
          <cell r="I10">
            <v>164525</v>
          </cell>
          <cell r="J10">
            <v>0.32</v>
          </cell>
          <cell r="K10">
            <v>32748.5</v>
          </cell>
          <cell r="L10">
            <v>161200</v>
          </cell>
          <cell r="M10">
            <v>0.32</v>
          </cell>
          <cell r="N10">
            <v>32089.5</v>
          </cell>
          <cell r="O10">
            <v>193950</v>
          </cell>
          <cell r="P10">
            <v>0.33</v>
          </cell>
          <cell r="Q10">
            <v>46643.75</v>
          </cell>
          <cell r="R10">
            <v>192400</v>
          </cell>
          <cell r="S10">
            <v>0.33</v>
          </cell>
          <cell r="T10">
            <v>46278.75</v>
          </cell>
          <cell r="U10">
            <v>191600</v>
          </cell>
          <cell r="V10">
            <v>0.33</v>
          </cell>
          <cell r="W10">
            <v>46075.25</v>
          </cell>
        </row>
        <row r="11">
          <cell r="C11">
            <v>213375</v>
          </cell>
          <cell r="D11">
            <v>0.35</v>
          </cell>
          <cell r="E11">
            <v>47843</v>
          </cell>
          <cell r="F11">
            <v>211150</v>
          </cell>
          <cell r="G11">
            <v>0.35</v>
          </cell>
          <cell r="H11">
            <v>47367.5</v>
          </cell>
          <cell r="I11">
            <v>207900</v>
          </cell>
          <cell r="J11">
            <v>0.35</v>
          </cell>
          <cell r="K11">
            <v>46628.5</v>
          </cell>
          <cell r="L11">
            <v>203700</v>
          </cell>
          <cell r="M11">
            <v>0.35</v>
          </cell>
          <cell r="N11">
            <v>45689.5</v>
          </cell>
          <cell r="O11">
            <v>419000</v>
          </cell>
          <cell r="P11">
            <v>0.35</v>
          </cell>
          <cell r="Q11">
            <v>120910.25</v>
          </cell>
          <cell r="R11">
            <v>415600</v>
          </cell>
          <cell r="S11">
            <v>0.35</v>
          </cell>
          <cell r="T11">
            <v>119934.75</v>
          </cell>
          <cell r="U11">
            <v>413800</v>
          </cell>
          <cell r="V11">
            <v>0.35</v>
          </cell>
          <cell r="W11">
            <v>119401.25</v>
          </cell>
        </row>
        <row r="12">
          <cell r="C12">
            <v>527550</v>
          </cell>
          <cell r="D12">
            <v>0.37</v>
          </cell>
          <cell r="E12">
            <v>157804.25</v>
          </cell>
          <cell r="F12">
            <v>522200</v>
          </cell>
          <cell r="G12">
            <v>0.37</v>
          </cell>
          <cell r="H12">
            <v>156235</v>
          </cell>
          <cell r="I12">
            <v>514100</v>
          </cell>
          <cell r="J12">
            <v>0.37</v>
          </cell>
          <cell r="K12">
            <v>153798.5</v>
          </cell>
          <cell r="L12">
            <v>503700</v>
          </cell>
          <cell r="M12">
            <v>0.37</v>
          </cell>
          <cell r="N12">
            <v>150689.5</v>
          </cell>
          <cell r="O12">
            <v>420700</v>
          </cell>
          <cell r="P12">
            <v>0.39600000000000002</v>
          </cell>
          <cell r="Q12">
            <v>121505.25</v>
          </cell>
          <cell r="R12">
            <v>417300</v>
          </cell>
          <cell r="S12">
            <v>0.39600000000000002</v>
          </cell>
          <cell r="T12">
            <v>120529.75</v>
          </cell>
          <cell r="U12">
            <v>415500</v>
          </cell>
          <cell r="V12">
            <v>0.39600000000000002</v>
          </cell>
          <cell r="W12">
            <v>119996.25</v>
          </cell>
        </row>
        <row r="13">
          <cell r="C13" t="str">
            <v>Over</v>
          </cell>
          <cell r="D13" t="str">
            <v>Plus %</v>
          </cell>
          <cell r="E13" t="str">
            <v>To Withhold</v>
          </cell>
          <cell r="F13" t="str">
            <v>Over</v>
          </cell>
          <cell r="G13" t="str">
            <v>Plus %</v>
          </cell>
          <cell r="H13" t="str">
            <v>To Withhold</v>
          </cell>
          <cell r="I13" t="str">
            <v>Over</v>
          </cell>
          <cell r="J13" t="str">
            <v>Plus %</v>
          </cell>
          <cell r="K13" t="str">
            <v>To Withhold</v>
          </cell>
          <cell r="L13" t="str">
            <v>Over</v>
          </cell>
          <cell r="M13" t="str">
            <v>Plus %</v>
          </cell>
          <cell r="N13" t="str">
            <v>To Withhold</v>
          </cell>
          <cell r="O13" t="str">
            <v>Over</v>
          </cell>
          <cell r="P13" t="str">
            <v>Plus %</v>
          </cell>
          <cell r="Q13" t="str">
            <v>To Withhold</v>
          </cell>
          <cell r="R13" t="str">
            <v>Over</v>
          </cell>
          <cell r="S13" t="str">
            <v>Plus %</v>
          </cell>
          <cell r="T13" t="str">
            <v>To Withhold</v>
          </cell>
          <cell r="U13" t="str">
            <v>Over</v>
          </cell>
          <cell r="V13" t="str">
            <v>Plus %</v>
          </cell>
          <cell r="W13" t="str">
            <v>To Withhold</v>
          </cell>
        </row>
        <row r="14">
          <cell r="C14">
            <v>12200</v>
          </cell>
          <cell r="D14">
            <v>0.1</v>
          </cell>
          <cell r="E14">
            <v>0</v>
          </cell>
          <cell r="F14">
            <v>11900</v>
          </cell>
          <cell r="G14">
            <v>0.1</v>
          </cell>
          <cell r="H14">
            <v>0</v>
          </cell>
          <cell r="I14">
            <v>11800</v>
          </cell>
          <cell r="J14">
            <v>0.1</v>
          </cell>
          <cell r="K14">
            <v>0</v>
          </cell>
          <cell r="L14">
            <v>11550</v>
          </cell>
          <cell r="M14">
            <v>0.1</v>
          </cell>
          <cell r="N14">
            <v>0</v>
          </cell>
          <cell r="O14">
            <v>8650</v>
          </cell>
          <cell r="P14">
            <v>0.1</v>
          </cell>
          <cell r="Q14">
            <v>0</v>
          </cell>
          <cell r="R14">
            <v>8550</v>
          </cell>
          <cell r="S14">
            <v>0.1</v>
          </cell>
          <cell r="T14">
            <v>0</v>
          </cell>
          <cell r="U14">
            <v>8600</v>
          </cell>
          <cell r="V14">
            <v>0.1</v>
          </cell>
          <cell r="W14">
            <v>0</v>
          </cell>
        </row>
        <row r="15">
          <cell r="C15">
            <v>32100</v>
          </cell>
          <cell r="D15">
            <v>0.12</v>
          </cell>
          <cell r="E15">
            <v>1990</v>
          </cell>
          <cell r="F15">
            <v>31650</v>
          </cell>
          <cell r="G15">
            <v>0.12</v>
          </cell>
          <cell r="H15">
            <v>1975</v>
          </cell>
          <cell r="I15">
            <v>31200</v>
          </cell>
          <cell r="J15">
            <v>0.12</v>
          </cell>
          <cell r="K15">
            <v>1940</v>
          </cell>
          <cell r="L15">
            <v>30600</v>
          </cell>
          <cell r="M15">
            <v>0.12</v>
          </cell>
          <cell r="N15">
            <v>1905</v>
          </cell>
          <cell r="O15">
            <v>27300</v>
          </cell>
          <cell r="P15">
            <v>0.15</v>
          </cell>
          <cell r="Q15">
            <v>1865</v>
          </cell>
          <cell r="R15">
            <v>27100</v>
          </cell>
          <cell r="S15">
            <v>0.15</v>
          </cell>
          <cell r="T15">
            <v>1855</v>
          </cell>
          <cell r="U15">
            <v>27050</v>
          </cell>
          <cell r="V15">
            <v>0.15</v>
          </cell>
          <cell r="W15">
            <v>1845</v>
          </cell>
        </row>
        <row r="16">
          <cell r="C16">
            <v>93250</v>
          </cell>
          <cell r="D16">
            <v>0.22</v>
          </cell>
          <cell r="E16">
            <v>9328</v>
          </cell>
          <cell r="F16">
            <v>92150</v>
          </cell>
          <cell r="G16">
            <v>0.22</v>
          </cell>
          <cell r="H16">
            <v>9235</v>
          </cell>
          <cell r="I16">
            <v>90750</v>
          </cell>
          <cell r="J16">
            <v>0.22</v>
          </cell>
          <cell r="K16">
            <v>9086</v>
          </cell>
          <cell r="L16">
            <v>88950</v>
          </cell>
          <cell r="M16">
            <v>0.22</v>
          </cell>
          <cell r="N16">
            <v>8907</v>
          </cell>
          <cell r="O16">
            <v>84550</v>
          </cell>
          <cell r="P16">
            <v>0.25</v>
          </cell>
          <cell r="Q16">
            <v>10452.5</v>
          </cell>
          <cell r="R16">
            <v>83850</v>
          </cell>
          <cell r="S16">
            <v>0.25</v>
          </cell>
          <cell r="T16">
            <v>10367.5</v>
          </cell>
          <cell r="U16">
            <v>83500</v>
          </cell>
          <cell r="V16">
            <v>0.25</v>
          </cell>
          <cell r="W16">
            <v>10312.5</v>
          </cell>
        </row>
        <row r="17">
          <cell r="C17">
            <v>184950</v>
          </cell>
          <cell r="D17">
            <v>0.24</v>
          </cell>
          <cell r="E17">
            <v>29502</v>
          </cell>
          <cell r="F17">
            <v>182950</v>
          </cell>
          <cell r="G17">
            <v>0.24</v>
          </cell>
          <cell r="H17">
            <v>29211</v>
          </cell>
          <cell r="I17">
            <v>180200</v>
          </cell>
          <cell r="J17">
            <v>0.24</v>
          </cell>
          <cell r="K17">
            <v>28765</v>
          </cell>
          <cell r="L17">
            <v>176550</v>
          </cell>
          <cell r="M17">
            <v>0.24</v>
          </cell>
          <cell r="N17">
            <v>28179</v>
          </cell>
          <cell r="O17">
            <v>161750</v>
          </cell>
          <cell r="P17">
            <v>0.28000000000000003</v>
          </cell>
          <cell r="Q17">
            <v>29752.5</v>
          </cell>
          <cell r="R17">
            <v>160450</v>
          </cell>
          <cell r="S17">
            <v>0.28000000000000003</v>
          </cell>
          <cell r="T17">
            <v>29517.5</v>
          </cell>
          <cell r="U17">
            <v>159800</v>
          </cell>
          <cell r="V17">
            <v>0.28000000000000003</v>
          </cell>
          <cell r="W17">
            <v>29387.5</v>
          </cell>
        </row>
        <row r="18">
          <cell r="C18">
            <v>342050</v>
          </cell>
          <cell r="D18">
            <v>0.32</v>
          </cell>
          <cell r="E18">
            <v>67206</v>
          </cell>
          <cell r="F18">
            <v>338500</v>
          </cell>
          <cell r="G18">
            <v>0.32</v>
          </cell>
          <cell r="H18">
            <v>66543</v>
          </cell>
          <cell r="I18">
            <v>333250</v>
          </cell>
          <cell r="J18">
            <v>0.32</v>
          </cell>
          <cell r="K18">
            <v>65497</v>
          </cell>
          <cell r="L18">
            <v>326550</v>
          </cell>
          <cell r="M18">
            <v>0.32</v>
          </cell>
          <cell r="N18">
            <v>64179</v>
          </cell>
          <cell r="O18">
            <v>242000</v>
          </cell>
          <cell r="P18">
            <v>0.33</v>
          </cell>
          <cell r="Q18">
            <v>52222.5</v>
          </cell>
          <cell r="R18">
            <v>240000</v>
          </cell>
          <cell r="S18">
            <v>0.33</v>
          </cell>
          <cell r="T18">
            <v>51791.5</v>
          </cell>
          <cell r="U18">
            <v>239050</v>
          </cell>
          <cell r="V18">
            <v>0.33</v>
          </cell>
          <cell r="W18">
            <v>51577.5</v>
          </cell>
        </row>
        <row r="19">
          <cell r="C19">
            <v>431050</v>
          </cell>
          <cell r="D19">
            <v>0.35</v>
          </cell>
          <cell r="E19">
            <v>95686</v>
          </cell>
          <cell r="F19">
            <v>426600</v>
          </cell>
          <cell r="G19">
            <v>0.35</v>
          </cell>
          <cell r="H19">
            <v>94735</v>
          </cell>
          <cell r="I19">
            <v>420000</v>
          </cell>
          <cell r="J19">
            <v>0.35</v>
          </cell>
          <cell r="K19">
            <v>93257</v>
          </cell>
          <cell r="L19">
            <v>411550</v>
          </cell>
          <cell r="M19">
            <v>0.35</v>
          </cell>
          <cell r="N19">
            <v>91379</v>
          </cell>
          <cell r="O19">
            <v>425350</v>
          </cell>
          <cell r="P19">
            <v>0.35</v>
          </cell>
          <cell r="Q19">
            <v>112728</v>
          </cell>
          <cell r="R19">
            <v>421900</v>
          </cell>
          <cell r="S19">
            <v>0.35</v>
          </cell>
          <cell r="T19">
            <v>111818.5</v>
          </cell>
          <cell r="U19">
            <v>420100</v>
          </cell>
          <cell r="V19">
            <v>0.35</v>
          </cell>
          <cell r="W19">
            <v>111324</v>
          </cell>
        </row>
        <row r="20">
          <cell r="C20">
            <v>640500</v>
          </cell>
          <cell r="D20">
            <v>0.37</v>
          </cell>
          <cell r="E20">
            <v>168993.5</v>
          </cell>
          <cell r="F20">
            <v>633950</v>
          </cell>
          <cell r="G20">
            <v>0.37</v>
          </cell>
          <cell r="H20">
            <v>167307.5</v>
          </cell>
          <cell r="I20">
            <v>624150</v>
          </cell>
          <cell r="J20">
            <v>0.37</v>
          </cell>
          <cell r="K20">
            <v>164709.5</v>
          </cell>
          <cell r="L20">
            <v>611550</v>
          </cell>
          <cell r="M20">
            <v>0.37</v>
          </cell>
          <cell r="N20">
            <v>161379</v>
          </cell>
          <cell r="O20">
            <v>479350</v>
          </cell>
          <cell r="P20">
            <v>0.39600000000000002</v>
          </cell>
          <cell r="Q20">
            <v>131628</v>
          </cell>
          <cell r="R20">
            <v>475500</v>
          </cell>
          <cell r="S20">
            <v>0.39600000000000002</v>
          </cell>
          <cell r="T20">
            <v>130578.5</v>
          </cell>
          <cell r="U20">
            <v>473450</v>
          </cell>
          <cell r="V20">
            <v>0.39600000000000002</v>
          </cell>
          <cell r="W20">
            <v>129996.5</v>
          </cell>
        </row>
        <row r="24">
          <cell r="C24">
            <v>1000</v>
          </cell>
          <cell r="F24">
            <v>1000</v>
          </cell>
          <cell r="I24">
            <v>1000</v>
          </cell>
          <cell r="L24">
            <v>1000</v>
          </cell>
          <cell r="O24">
            <v>1000</v>
          </cell>
          <cell r="R24">
            <v>1000</v>
          </cell>
          <cell r="U24">
            <v>1000</v>
          </cell>
        </row>
        <row r="25">
          <cell r="C25" t="str">
            <v>Over</v>
          </cell>
          <cell r="D25" t="str">
            <v>Plus %</v>
          </cell>
          <cell r="E25" t="str">
            <v>To Withhold</v>
          </cell>
          <cell r="F25" t="str">
            <v>Over</v>
          </cell>
          <cell r="G25" t="str">
            <v>Plus %</v>
          </cell>
          <cell r="H25" t="str">
            <v>To Withhold</v>
          </cell>
          <cell r="I25" t="str">
            <v>Over</v>
          </cell>
          <cell r="J25" t="str">
            <v>Plus %</v>
          </cell>
          <cell r="K25" t="str">
            <v>To Withhold</v>
          </cell>
          <cell r="L25" t="str">
            <v>Over</v>
          </cell>
          <cell r="M25" t="str">
            <v>Plus %</v>
          </cell>
          <cell r="N25" t="str">
            <v>To Withhold</v>
          </cell>
          <cell r="O25" t="str">
            <v>Over</v>
          </cell>
          <cell r="P25" t="str">
            <v>Plus %</v>
          </cell>
          <cell r="Q25" t="str">
            <v>To Withhold</v>
          </cell>
          <cell r="R25" t="str">
            <v>Over</v>
          </cell>
          <cell r="S25" t="str">
            <v>Plus %</v>
          </cell>
          <cell r="T25" t="str">
            <v>To Withhold</v>
          </cell>
          <cell r="U25" t="str">
            <v>Over</v>
          </cell>
          <cell r="V25" t="str">
            <v>Plus %</v>
          </cell>
          <cell r="W25" t="str">
            <v>To Withhold</v>
          </cell>
        </row>
        <row r="26">
          <cell r="C26">
            <v>0</v>
          </cell>
          <cell r="D26">
            <v>3.7499999999999999E-2</v>
          </cell>
          <cell r="E26">
            <v>0</v>
          </cell>
          <cell r="F26">
            <v>0</v>
          </cell>
          <cell r="G26">
            <v>3.7499999999999999E-2</v>
          </cell>
          <cell r="H26">
            <v>0</v>
          </cell>
          <cell r="I26">
            <v>0</v>
          </cell>
          <cell r="J26">
            <v>3.7499999999999999E-2</v>
          </cell>
          <cell r="K26">
            <v>0</v>
          </cell>
          <cell r="L26">
            <v>0</v>
          </cell>
          <cell r="M26">
            <v>3.7499999999999999E-2</v>
          </cell>
          <cell r="N26">
            <v>0</v>
          </cell>
          <cell r="O26">
            <v>0</v>
          </cell>
          <cell r="P26">
            <v>3.7499999999999999E-2</v>
          </cell>
          <cell r="Q26">
            <v>0</v>
          </cell>
          <cell r="R26">
            <v>0</v>
          </cell>
          <cell r="S26">
            <v>3.7499999999999999E-2</v>
          </cell>
          <cell r="T26">
            <v>0</v>
          </cell>
          <cell r="U26">
            <v>0</v>
          </cell>
          <cell r="V26">
            <v>3.7499999999999999E-2</v>
          </cell>
          <cell r="W26">
            <v>0</v>
          </cell>
        </row>
        <row r="27">
          <cell r="C27">
            <v>66200</v>
          </cell>
          <cell r="D27">
            <v>4.7500000000000001E-2</v>
          </cell>
          <cell r="E27">
            <v>2482.5</v>
          </cell>
          <cell r="F27">
            <v>65250</v>
          </cell>
          <cell r="G27">
            <v>4.7500000000000001E-2</v>
          </cell>
          <cell r="H27">
            <v>2446.875</v>
          </cell>
          <cell r="I27">
            <v>64050</v>
          </cell>
          <cell r="J27">
            <v>4.7500000000000001E-2</v>
          </cell>
          <cell r="K27">
            <v>2401.875</v>
          </cell>
          <cell r="L27">
            <v>62550</v>
          </cell>
          <cell r="M27">
            <v>4.7500000000000001E-2</v>
          </cell>
          <cell r="N27">
            <v>2345.625</v>
          </cell>
          <cell r="O27">
            <v>61300</v>
          </cell>
          <cell r="P27">
            <v>4.7500000000000001E-2</v>
          </cell>
          <cell r="Q27">
            <v>2298.75</v>
          </cell>
          <cell r="R27">
            <v>60850</v>
          </cell>
          <cell r="S27">
            <v>4.7500000000000001E-2</v>
          </cell>
          <cell r="T27">
            <v>2281.875</v>
          </cell>
          <cell r="U27">
            <v>60550</v>
          </cell>
          <cell r="V27">
            <v>4.7500000000000001E-2</v>
          </cell>
          <cell r="W27">
            <v>2270.625</v>
          </cell>
        </row>
        <row r="28">
          <cell r="C28">
            <v>150550</v>
          </cell>
          <cell r="D28">
            <v>5.9900000000000002E-2</v>
          </cell>
          <cell r="E28">
            <v>6489.125</v>
          </cell>
          <cell r="F28">
            <v>148350</v>
          </cell>
          <cell r="G28">
            <v>5.9900000000000002E-2</v>
          </cell>
          <cell r="H28">
            <v>6394.125</v>
          </cell>
          <cell r="I28">
            <v>145600</v>
          </cell>
          <cell r="J28">
            <v>5.9900000000000002E-2</v>
          </cell>
          <cell r="K28">
            <v>6275.5</v>
          </cell>
          <cell r="L28">
            <v>142150</v>
          </cell>
          <cell r="M28">
            <v>5.9900000000000002E-2</v>
          </cell>
          <cell r="N28">
            <v>6126.625</v>
          </cell>
          <cell r="O28">
            <v>139400</v>
          </cell>
          <cell r="P28">
            <v>5.9900000000000002E-2</v>
          </cell>
          <cell r="Q28">
            <v>6008.5</v>
          </cell>
          <cell r="R28">
            <v>138300</v>
          </cell>
          <cell r="S28">
            <v>5.9900000000000002E-2</v>
          </cell>
          <cell r="T28">
            <v>5960.75</v>
          </cell>
          <cell r="U28">
            <v>137650</v>
          </cell>
          <cell r="V28">
            <v>5.9900000000000002E-2</v>
          </cell>
          <cell r="W28">
            <v>5932.875</v>
          </cell>
        </row>
      </sheetData>
      <sheetData sheetId="2">
        <row r="10">
          <cell r="K10">
            <v>0</v>
          </cell>
        </row>
        <row r="11">
          <cell r="K11">
            <v>0</v>
          </cell>
        </row>
        <row r="34">
          <cell r="K34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tax.ri.gov/" TargetMode="External"/><Relationship Id="rId1" Type="http://schemas.openxmlformats.org/officeDocument/2006/relationships/hyperlink" Target="https://www.irs.gov/pub/irs-pdf" TargetMode="Externa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2:J39"/>
  <sheetViews>
    <sheetView showGridLines="0" showRowColHeaders="0" tabSelected="1" zoomScaleNormal="100" workbookViewId="0">
      <selection activeCell="E8" sqref="E8"/>
    </sheetView>
  </sheetViews>
  <sheetFormatPr defaultColWidth="9.140625" defaultRowHeight="15" x14ac:dyDescent="0.25"/>
  <cols>
    <col min="2" max="2" width="8.28515625" customWidth="1"/>
    <col min="3" max="3" width="13.7109375" customWidth="1"/>
    <col min="4" max="4" width="16.85546875" customWidth="1"/>
    <col min="5" max="5" width="38.140625" bestFit="1" customWidth="1"/>
    <col min="6" max="6" width="12.7109375" customWidth="1"/>
    <col min="7" max="7" width="10" customWidth="1"/>
    <col min="8" max="8" width="13.42578125" customWidth="1"/>
    <col min="9" max="9" width="8.85546875" customWidth="1"/>
    <col min="10" max="10" width="10.85546875" bestFit="1" customWidth="1"/>
  </cols>
  <sheetData>
    <row r="2" spans="2:10" ht="66.75" customHeight="1" x14ac:dyDescent="0.35">
      <c r="B2" s="93" t="str">
        <f>"This workbook allows you to predict both your Federal and Rhode Island withholding for "&amp;TaxCalculation!D4</f>
        <v>This workbook allows you to predict both your Federal and Rhode Island withholding for 2025</v>
      </c>
      <c r="C2" s="93"/>
      <c r="D2" s="93"/>
      <c r="E2" s="93"/>
      <c r="F2" s="93"/>
      <c r="G2" s="93"/>
      <c r="H2" s="93"/>
      <c r="I2" s="93"/>
      <c r="J2" s="93"/>
    </row>
    <row r="3" spans="2:10" x14ac:dyDescent="0.25">
      <c r="B3" s="94" t="s">
        <v>0</v>
      </c>
      <c r="C3" s="94"/>
      <c r="D3" s="94"/>
      <c r="E3" s="94"/>
      <c r="F3" s="94"/>
      <c r="G3" s="94"/>
      <c r="H3" s="94"/>
      <c r="I3" s="94"/>
      <c r="J3" s="94"/>
    </row>
    <row r="4" spans="2:10" x14ac:dyDescent="0.25">
      <c r="B4" s="94" t="s">
        <v>1</v>
      </c>
      <c r="C4" s="94"/>
      <c r="D4" s="94"/>
      <c r="E4" s="94"/>
      <c r="F4" s="94"/>
      <c r="G4" s="94"/>
      <c r="H4" s="94"/>
      <c r="I4" s="94"/>
      <c r="J4" s="94"/>
    </row>
    <row r="5" spans="2:10" x14ac:dyDescent="0.25">
      <c r="B5" s="95" t="s">
        <v>2</v>
      </c>
      <c r="C5" s="94"/>
      <c r="D5" s="94"/>
      <c r="E5" s="94"/>
      <c r="F5" s="94"/>
      <c r="G5" s="94"/>
      <c r="H5" s="94"/>
      <c r="I5" s="94"/>
      <c r="J5" s="94"/>
    </row>
    <row r="8" spans="2:10" x14ac:dyDescent="0.25">
      <c r="B8" s="1" t="s">
        <v>3</v>
      </c>
      <c r="C8" s="1"/>
      <c r="D8" s="1"/>
      <c r="E8" s="7"/>
      <c r="F8" s="1"/>
      <c r="G8" s="3" t="s">
        <v>3</v>
      </c>
      <c r="H8" s="1"/>
      <c r="I8" s="1"/>
      <c r="J8" s="1"/>
    </row>
    <row r="9" spans="2:10" x14ac:dyDescent="0.25">
      <c r="B9" s="3" t="s">
        <v>4</v>
      </c>
      <c r="C9" s="1"/>
      <c r="D9" s="1"/>
      <c r="E9" s="1"/>
      <c r="F9" s="1"/>
      <c r="G9" s="3" t="s">
        <v>5</v>
      </c>
      <c r="H9" s="1"/>
      <c r="I9" s="1"/>
      <c r="J9" s="4">
        <f>MIN(val_MonthlyGross,IF(val_MaritalStatus="Married filing jointly or Qualifying widow(er)",val_FedMarriedWH,IF(val_MaritalStatus="Single or Married filing separately",val_FedSingleWH,val_FedHoHWH))+val_FedAddWH)</f>
        <v>0</v>
      </c>
    </row>
    <row r="10" spans="2:10" x14ac:dyDescent="0.25">
      <c r="B10" s="3" t="s">
        <v>91</v>
      </c>
      <c r="C10" s="1"/>
      <c r="D10" s="1"/>
      <c r="E10" s="11"/>
      <c r="F10" s="1"/>
      <c r="G10" s="3" t="s">
        <v>6</v>
      </c>
      <c r="H10" s="1"/>
      <c r="I10" s="1"/>
      <c r="J10" s="4">
        <f>MIN(val_MonthlyGross-J9,val_StateCalcWH+val_StateAddWH)</f>
        <v>0</v>
      </c>
    </row>
    <row r="11" spans="2:10" x14ac:dyDescent="0.25">
      <c r="B11" s="1" t="s">
        <v>95</v>
      </c>
      <c r="C11" s="1"/>
      <c r="D11" s="1"/>
      <c r="E11" s="7"/>
      <c r="F11" s="1"/>
      <c r="G11" s="3"/>
      <c r="H11" s="2"/>
      <c r="I11" s="2"/>
      <c r="J11" s="2"/>
    </row>
    <row r="12" spans="2:10" x14ac:dyDescent="0.25">
      <c r="B12" s="1" t="s">
        <v>106</v>
      </c>
      <c r="C12" s="1"/>
      <c r="D12" s="1"/>
      <c r="E12" s="7"/>
      <c r="F12" s="1"/>
      <c r="G12" s="3" t="s">
        <v>8</v>
      </c>
      <c r="H12" s="2"/>
      <c r="I12" s="2"/>
      <c r="J12" s="5">
        <f>MAX(0,val_MonthlyGross-val_FedWH-val_StateWH)</f>
        <v>0</v>
      </c>
    </row>
    <row r="13" spans="2:10" x14ac:dyDescent="0.25">
      <c r="B13" s="1" t="s">
        <v>96</v>
      </c>
      <c r="C13" s="1"/>
      <c r="D13" s="1"/>
      <c r="E13" s="7"/>
      <c r="F13" s="1"/>
      <c r="G13" s="1"/>
      <c r="H13" s="1"/>
      <c r="I13" s="1"/>
      <c r="J13" s="1"/>
    </row>
    <row r="14" spans="2:10" ht="15" customHeight="1" x14ac:dyDescent="0.25">
      <c r="B14" s="1" t="s">
        <v>97</v>
      </c>
      <c r="C14" s="1"/>
      <c r="D14" s="1"/>
      <c r="E14" s="7"/>
      <c r="F14" s="1"/>
      <c r="G14" s="3" t="str">
        <f>IF(E20=0,"","Change to have Desired Federal Withholding:")</f>
        <v/>
      </c>
      <c r="H14" s="1"/>
      <c r="I14" s="9"/>
    </row>
    <row r="15" spans="2:10" x14ac:dyDescent="0.25">
      <c r="B15" s="1" t="s">
        <v>94</v>
      </c>
      <c r="C15" s="1"/>
      <c r="D15" s="1"/>
      <c r="E15" s="7"/>
      <c r="F15" s="1"/>
      <c r="G15" s="92" t="str">
        <f>IF(val_FedDesired=0,"",INDEX(TaxCalculation!K20:K23,MATCH("X",TaxCalculation!R20:R23,0)))</f>
        <v/>
      </c>
      <c r="H15" s="92"/>
      <c r="I15" s="92"/>
      <c r="J15" s="92"/>
    </row>
    <row r="16" spans="2:10" ht="24.95" customHeight="1" x14ac:dyDescent="0.25">
      <c r="B16" s="3" t="s">
        <v>9</v>
      </c>
      <c r="C16" s="1"/>
      <c r="D16" s="1"/>
      <c r="E16" s="6"/>
      <c r="F16" s="1"/>
      <c r="G16" s="92"/>
      <c r="H16" s="92"/>
      <c r="I16" s="92"/>
      <c r="J16" s="92"/>
    </row>
    <row r="17" spans="2:10" x14ac:dyDescent="0.25">
      <c r="B17" s="3" t="s">
        <v>7</v>
      </c>
      <c r="C17" s="1"/>
      <c r="D17" s="1"/>
      <c r="E17" s="8"/>
      <c r="F17" s="1"/>
      <c r="G17" s="3" t="str">
        <f>IF(E21=0,"","Modifications Needed to have Desired RI Withholding:")</f>
        <v/>
      </c>
      <c r="H17" s="1"/>
      <c r="I17" s="1"/>
    </row>
    <row r="18" spans="2:10" x14ac:dyDescent="0.25">
      <c r="B18" s="1" t="s">
        <v>94</v>
      </c>
      <c r="C18" s="1"/>
      <c r="D18" s="1"/>
      <c r="E18" s="7"/>
      <c r="F18" s="1"/>
      <c r="G18" s="92" t="str">
        <f>IF(val_StateDesired=0,"",INDEX(TaxCalculation!K56:K59,MATCH("X",TaxCalculation!R56:R59,0)))</f>
        <v/>
      </c>
      <c r="H18" s="92"/>
      <c r="I18" s="92"/>
      <c r="J18" s="92"/>
    </row>
    <row r="19" spans="2:10" ht="24.95" customHeight="1" x14ac:dyDescent="0.25">
      <c r="B19" s="3"/>
      <c r="C19" s="1"/>
      <c r="D19" s="1"/>
      <c r="E19" s="1"/>
      <c r="F19" s="1"/>
      <c r="G19" s="92"/>
      <c r="H19" s="92"/>
      <c r="I19" s="92"/>
      <c r="J19" s="92"/>
    </row>
    <row r="20" spans="2:10" x14ac:dyDescent="0.25">
      <c r="B20" s="3" t="s">
        <v>10</v>
      </c>
      <c r="C20" s="1"/>
      <c r="D20" s="1"/>
      <c r="E20" s="7"/>
      <c r="F20" s="1"/>
    </row>
    <row r="21" spans="2:10" x14ac:dyDescent="0.25">
      <c r="B21" s="3" t="s">
        <v>11</v>
      </c>
      <c r="C21" s="1"/>
      <c r="D21" s="1"/>
      <c r="E21" s="7"/>
      <c r="F21" s="1"/>
    </row>
    <row r="22" spans="2:10" x14ac:dyDescent="0.25">
      <c r="B22" s="1"/>
      <c r="C22" s="1"/>
      <c r="D22" s="1"/>
      <c r="E22" s="1"/>
      <c r="F22" s="1"/>
    </row>
    <row r="23" spans="2:10" x14ac:dyDescent="0.25">
      <c r="F23" s="1"/>
    </row>
    <row r="39" spans="5:5" x14ac:dyDescent="0.25">
      <c r="E39" s="10"/>
    </row>
  </sheetData>
  <sheetProtection algorithmName="SHA-512" hashValue="fioK95eNN9tLorPpidveCqU/2UTTgl/9lrjvpS8yaAux7YxScXFb+9Q1/zioIxTIuqmM2caIrTyWzh50JFupJQ==" saltValue="8lLSY7V/UFsEbcoC9mv+sg==" spinCount="100000" sheet="1" selectLockedCells="1"/>
  <mergeCells count="6">
    <mergeCell ref="G18:J19"/>
    <mergeCell ref="B2:J2"/>
    <mergeCell ref="B3:J3"/>
    <mergeCell ref="B4:J4"/>
    <mergeCell ref="B5:J5"/>
    <mergeCell ref="G15:J16"/>
  </mergeCells>
  <dataValidations count="9">
    <dataValidation type="decimal" operator="greaterThan" allowBlank="1" showInputMessage="1" showErrorMessage="1" promptTitle="Gross Monthly Pension" prompt="Any Dollar Value &gt; $0.00" sqref="E8" xr:uid="{00000000-0002-0000-0000-000000000000}">
      <formula1>0</formula1>
    </dataValidation>
    <dataValidation type="whole" allowBlank="1" showInputMessage="1" showErrorMessage="1" promptTitle="Number of Exemptions" prompt="Any # between 0 &amp; 750" sqref="E17" xr:uid="{00000000-0002-0000-0000-000001000000}">
      <formula1>0</formula1>
      <formula2>750</formula2>
    </dataValidation>
    <dataValidation type="decimal" operator="greaterThanOrEqual" allowBlank="1" showInputMessage="1" showErrorMessage="1" promptTitle="Additional Withholding" prompt="Any Dollar Value &gt;= $0.00" sqref="E15 E18" xr:uid="{00000000-0002-0000-0000-000002000000}">
      <formula1>0</formula1>
    </dataValidation>
    <dataValidation type="decimal" operator="greaterThanOrEqual" allowBlank="1" showInputMessage="1" showErrorMessage="1" promptTitle="Desired RI Withholding" prompt="Any Dollar Value &gt;= $0.00" sqref="E21" xr:uid="{00000000-0002-0000-0000-000003000000}">
      <formula1>0</formula1>
    </dataValidation>
    <dataValidation type="decimal" operator="greaterThanOrEqual" allowBlank="1" showInputMessage="1" showErrorMessage="1" promptTitle="Desired Fed Withholding" prompt="Any Dollar Value &gt;= $0.00" sqref="E20" xr:uid="{00000000-0002-0000-0000-000004000000}">
      <formula1>0</formula1>
    </dataValidation>
    <dataValidation allowBlank="1" showInputMessage="1" showErrorMessage="1" promptTitle="Total W-2 Income &amp; Add. Pension" prompt="Any Dollar Value &gt;= $0.00" sqref="E11" xr:uid="{00000000-0002-0000-0000-000005000000}"/>
    <dataValidation allowBlank="1" showInputMessage="1" showErrorMessage="1" promptTitle="Deductions" prompt="Any Dollar Value &gt;= $0.00" sqref="E14" xr:uid="{00000000-0002-0000-0000-000006000000}"/>
    <dataValidation allowBlank="1" showInputMessage="1" showErrorMessage="1" promptTitle="Dependent Credits" prompt="Any Dollar Value &gt;= $0.00" sqref="E12" xr:uid="{00000000-0002-0000-0000-000007000000}"/>
    <dataValidation allowBlank="1" showInputMessage="1" showErrorMessage="1" promptTitle="Other Income" prompt="Any Dollar Value &gt;= $0.00" sqref="E13" xr:uid="{00000000-0002-0000-0000-000008000000}"/>
  </dataValidations>
  <pageMargins left="0.7" right="0.7" top="0.75" bottom="0.75" header="0.3" footer="0.3"/>
  <pageSetup orientation="portrait" horizontalDpi="4294967293" verticalDpi="4294967293" r:id="rId1"/>
  <customProperties>
    <customPr name="Sheet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arital Status" prompt="Select Single, Married or Head of household" xr:uid="{00000000-0002-0000-0000-000009000000}">
          <x14:formula1>
            <xm:f>TaxCalculation!$N$10:$N$12</xm:f>
          </x14:formula1>
          <xm:sqref>E10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4"/>
  <sheetViews>
    <sheetView showGridLines="0" showRowColHeaders="0" zoomScaleNormal="100" workbookViewId="0">
      <selection activeCell="L136" sqref="L136"/>
    </sheetView>
  </sheetViews>
  <sheetFormatPr defaultColWidth="9.140625" defaultRowHeight="15" x14ac:dyDescent="0.25"/>
  <cols>
    <col min="2" max="3" width="13.7109375" customWidth="1"/>
    <col min="4" max="4" width="9.42578125" customWidth="1"/>
    <col min="5" max="5" width="11.28515625" bestFit="1" customWidth="1"/>
    <col min="6" max="6" width="21.7109375" customWidth="1"/>
    <col min="7" max="9" width="11.28515625" customWidth="1"/>
    <col min="10" max="10" width="10.28515625" bestFit="1" customWidth="1"/>
  </cols>
  <sheetData>
    <row r="2" spans="2:10" ht="66.75" customHeight="1" x14ac:dyDescent="0.35">
      <c r="B2" s="93" t="str">
        <f>"This workbook allows you to predict both your Federal and Rhode Island withholding for "&amp;TaxCalculation!D4</f>
        <v>This workbook allows you to predict both your Federal and Rhode Island withholding for 2025</v>
      </c>
      <c r="C2" s="93"/>
      <c r="D2" s="93"/>
      <c r="E2" s="93"/>
      <c r="F2" s="93"/>
      <c r="G2" s="93"/>
      <c r="H2" s="93"/>
      <c r="I2" s="93"/>
      <c r="J2" s="93"/>
    </row>
    <row r="3" spans="2:10" x14ac:dyDescent="0.25">
      <c r="B3" s="94" t="s">
        <v>0</v>
      </c>
      <c r="C3" s="94"/>
      <c r="D3" s="94"/>
      <c r="E3" s="94"/>
      <c r="F3" s="94"/>
      <c r="G3" s="94"/>
      <c r="H3" s="94"/>
      <c r="I3" s="94"/>
      <c r="J3" s="94"/>
    </row>
    <row r="4" spans="2:10" x14ac:dyDescent="0.25">
      <c r="B4" s="96" t="s">
        <v>103</v>
      </c>
      <c r="C4" s="94"/>
      <c r="D4" s="94"/>
      <c r="E4" s="94"/>
      <c r="F4" s="94"/>
      <c r="G4" s="94"/>
      <c r="H4" s="94"/>
      <c r="I4" s="94"/>
      <c r="J4" s="94"/>
    </row>
    <row r="5" spans="2:10" x14ac:dyDescent="0.25">
      <c r="B5" s="94"/>
      <c r="C5" s="94"/>
      <c r="D5" s="94"/>
      <c r="E5" s="94"/>
      <c r="F5" s="94"/>
      <c r="G5" s="94"/>
      <c r="H5" s="94"/>
      <c r="I5" s="94"/>
      <c r="J5" s="94"/>
    </row>
    <row r="8" spans="2:10" x14ac:dyDescent="0.25">
      <c r="B8" s="1" t="s">
        <v>3</v>
      </c>
      <c r="C8" s="1"/>
      <c r="D8" s="1"/>
      <c r="E8" s="7"/>
      <c r="F8" s="1"/>
      <c r="G8" s="1" t="s">
        <v>3</v>
      </c>
      <c r="H8" s="1"/>
      <c r="I8" s="1"/>
      <c r="J8" s="1"/>
    </row>
    <row r="9" spans="2:10" x14ac:dyDescent="0.25">
      <c r="B9" s="1" t="s">
        <v>4</v>
      </c>
      <c r="C9" s="1"/>
      <c r="D9" s="1"/>
      <c r="E9" s="1"/>
      <c r="F9" s="1"/>
      <c r="G9" s="1" t="s">
        <v>5</v>
      </c>
      <c r="H9" s="1"/>
      <c r="I9" s="1"/>
      <c r="J9" s="88">
        <f>MIN(OLD_val_MonthlyGross,IF(OLD_val_MaritalStatus="Married filing jointly or Qualifying widow(er)",OLD_val_FedMarriedWH,OLD_val_FedSingleWH)+OLD_val_FedAddWH)</f>
        <v>0</v>
      </c>
    </row>
    <row r="10" spans="2:10" x14ac:dyDescent="0.25">
      <c r="B10" s="1" t="s">
        <v>91</v>
      </c>
      <c r="C10" s="1"/>
      <c r="D10" s="1"/>
      <c r="E10" s="11" t="s">
        <v>110</v>
      </c>
      <c r="F10" s="1"/>
      <c r="G10" s="1" t="s">
        <v>6</v>
      </c>
      <c r="H10" s="1"/>
      <c r="I10" s="1"/>
      <c r="J10" s="88">
        <f>MIN(OLD_val_MonthlyGross-J9,OLD_val_StateCalcWH+OLD_val_StateAddWH)</f>
        <v>0</v>
      </c>
    </row>
    <row r="11" spans="2:10" x14ac:dyDescent="0.25">
      <c r="B11" s="1" t="s">
        <v>7</v>
      </c>
      <c r="C11" s="1"/>
      <c r="D11" s="1"/>
      <c r="E11" s="8"/>
      <c r="F11" s="1"/>
      <c r="G11" s="1"/>
      <c r="H11" s="2"/>
      <c r="I11" s="2"/>
      <c r="J11" s="2"/>
    </row>
    <row r="12" spans="2:10" x14ac:dyDescent="0.25">
      <c r="B12" s="1" t="s">
        <v>94</v>
      </c>
      <c r="C12" s="1"/>
      <c r="D12" s="1"/>
      <c r="E12" s="7"/>
      <c r="F12" s="1"/>
      <c r="G12" s="1" t="s">
        <v>8</v>
      </c>
      <c r="H12" s="2"/>
      <c r="I12" s="2"/>
      <c r="J12" s="5">
        <f>MAX(0,val_MonthlyGross-val_FedWH-val_StateWH)</f>
        <v>0</v>
      </c>
    </row>
    <row r="13" spans="2:10" x14ac:dyDescent="0.25">
      <c r="B13" s="1" t="s">
        <v>9</v>
      </c>
      <c r="C13" s="1"/>
      <c r="D13" s="1"/>
      <c r="E13" s="6"/>
      <c r="F13" s="1"/>
      <c r="G13" s="1"/>
      <c r="H13" s="1"/>
      <c r="I13" s="1"/>
      <c r="J13" s="1"/>
    </row>
    <row r="14" spans="2:10" ht="15" customHeight="1" x14ac:dyDescent="0.25">
      <c r="B14" s="1" t="s">
        <v>7</v>
      </c>
      <c r="C14" s="1"/>
      <c r="D14" s="1"/>
      <c r="E14" s="8"/>
      <c r="F14" s="1"/>
    </row>
    <row r="15" spans="2:10" x14ac:dyDescent="0.25">
      <c r="B15" s="1" t="s">
        <v>94</v>
      </c>
      <c r="C15" s="1"/>
      <c r="D15" s="1"/>
      <c r="E15" s="7"/>
      <c r="F15" s="1"/>
    </row>
    <row r="16" spans="2:10" ht="24.95" customHeight="1" x14ac:dyDescent="0.25">
      <c r="B16" s="1"/>
      <c r="C16" s="1"/>
      <c r="D16" s="1"/>
      <c r="E16" s="1"/>
      <c r="F16" s="1"/>
    </row>
    <row r="17" spans="1:6" ht="24.95" customHeight="1" x14ac:dyDescent="0.25">
      <c r="A17" s="91" t="s">
        <v>108</v>
      </c>
      <c r="B17" s="1"/>
      <c r="C17" s="1"/>
      <c r="D17" s="1"/>
      <c r="E17" s="1"/>
      <c r="F17" s="1"/>
    </row>
    <row r="18" spans="1:6" x14ac:dyDescent="0.25">
      <c r="F18" s="1"/>
    </row>
    <row r="19" spans="1:6" x14ac:dyDescent="0.25">
      <c r="B19" s="1" t="s">
        <v>104</v>
      </c>
      <c r="E19" s="90" t="str">
        <f>IF(OLD_val_MaritalStatus="Single",8600,IF(OLD_val_MaritalStatus="Married",12900,""))</f>
        <v/>
      </c>
    </row>
    <row r="20" spans="1:6" x14ac:dyDescent="0.25">
      <c r="B20" s="1" t="s">
        <v>105</v>
      </c>
      <c r="E20" s="90" t="str">
        <f>IF(OLD_val_FedNumExempt="","",OLD_val_FedNumExempt*4300)</f>
        <v/>
      </c>
    </row>
    <row r="21" spans="1:6" x14ac:dyDescent="0.25">
      <c r="B21" s="1" t="s">
        <v>107</v>
      </c>
      <c r="E21" s="90" t="str">
        <f>IF(OLD_val_FedAddWH="","",OLD_val_FedAddWH)</f>
        <v/>
      </c>
    </row>
    <row r="34" spans="5:5" x14ac:dyDescent="0.25">
      <c r="E34" s="10"/>
    </row>
  </sheetData>
  <sheetProtection selectLockedCells="1"/>
  <mergeCells count="4">
    <mergeCell ref="B2:J2"/>
    <mergeCell ref="B3:J3"/>
    <mergeCell ref="B4:J4"/>
    <mergeCell ref="B5:J5"/>
  </mergeCells>
  <dataValidations count="3">
    <dataValidation type="decimal" operator="greaterThanOrEqual" allowBlank="1" showInputMessage="1" showErrorMessage="1" promptTitle="Additional Withholding" prompt="Any Dollar Value &gt;= $0.00" sqref="E12 E15" xr:uid="{00000000-0002-0000-0100-000000000000}">
      <formula1>0</formula1>
    </dataValidation>
    <dataValidation type="whole" allowBlank="1" showInputMessage="1" showErrorMessage="1" promptTitle="Number of Exemptions" prompt="Any # between 0 &amp; 750" sqref="E11 E14" xr:uid="{00000000-0002-0000-0100-000001000000}">
      <formula1>0</formula1>
      <formula2>750</formula2>
    </dataValidation>
    <dataValidation type="decimal" operator="greaterThan" allowBlank="1" showInputMessage="1" showErrorMessage="1" promptTitle="Gross Monthly Pension" prompt="Any Dollar Value &gt; $0.00" sqref="E8" xr:uid="{00000000-0002-0000-0100-000002000000}">
      <formula1>0</formula1>
    </dataValidation>
  </dataValidations>
  <pageMargins left="0.7" right="0.7" top="0.75" bottom="0.75" header="0.3" footer="0.3"/>
  <pageSetup orientation="portrait" horizontalDpi="4294967293" verticalDpi="4294967293" r:id="rId1"/>
  <customProperties>
    <customPr name="Sheet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Marital Status" prompt="Select Single or Married" xr:uid="{00000000-0002-0000-0100-000003000000}">
          <x14:formula1>
            <xm:f>TaxCalculation!$N$10:$N$11</xm:f>
          </x14:formula1>
          <xm:sqref>E10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tabColor theme="3" tint="0.59999389629810485"/>
  </sheetPr>
  <dimension ref="B3:AJ42"/>
  <sheetViews>
    <sheetView topLeftCell="A18" zoomScaleNormal="100" workbookViewId="0">
      <selection activeCell="C44" sqref="C44"/>
    </sheetView>
  </sheetViews>
  <sheetFormatPr defaultColWidth="11.42578125" defaultRowHeight="15" x14ac:dyDescent="0.25"/>
  <cols>
    <col min="1" max="1" width="3.7109375" customWidth="1"/>
    <col min="2" max="2" width="21.85546875" bestFit="1" customWidth="1"/>
  </cols>
  <sheetData>
    <row r="3" spans="2:36" ht="15.75" thickBot="1" x14ac:dyDescent="0.3"/>
    <row r="4" spans="2:36" ht="15.75" thickBot="1" x14ac:dyDescent="0.3">
      <c r="B4" s="97" t="s">
        <v>19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9"/>
    </row>
    <row r="5" spans="2:36" ht="15.75" thickBot="1" x14ac:dyDescent="0.3">
      <c r="B5" s="26" t="s">
        <v>31</v>
      </c>
      <c r="C5" s="100">
        <v>2025</v>
      </c>
      <c r="D5" s="101"/>
      <c r="E5" s="102"/>
      <c r="F5" s="100">
        <v>2024</v>
      </c>
      <c r="G5" s="101"/>
      <c r="H5" s="102"/>
      <c r="I5" s="100">
        <v>2023</v>
      </c>
      <c r="J5" s="101"/>
      <c r="K5" s="102"/>
      <c r="L5" s="100">
        <v>2022</v>
      </c>
      <c r="M5" s="101"/>
      <c r="N5" s="102"/>
      <c r="O5" s="100">
        <v>2021</v>
      </c>
      <c r="P5" s="101"/>
      <c r="Q5" s="102"/>
      <c r="R5" s="100">
        <v>2020</v>
      </c>
      <c r="S5" s="101"/>
      <c r="T5" s="102"/>
      <c r="U5" s="100">
        <v>2019</v>
      </c>
      <c r="V5" s="101"/>
      <c r="W5" s="102"/>
      <c r="X5" s="100">
        <v>2018</v>
      </c>
      <c r="Y5" s="101"/>
      <c r="Z5" s="102"/>
      <c r="AA5" s="100">
        <v>2017</v>
      </c>
      <c r="AB5" s="101"/>
      <c r="AC5" s="102"/>
      <c r="AD5" s="100">
        <v>2016</v>
      </c>
      <c r="AE5" s="101"/>
      <c r="AF5" s="102"/>
      <c r="AG5" s="100">
        <v>2015</v>
      </c>
      <c r="AH5" s="101"/>
      <c r="AI5" s="102"/>
    </row>
    <row r="6" spans="2:36" ht="15.75" thickBot="1" x14ac:dyDescent="0.3">
      <c r="B6" s="33" t="s">
        <v>14</v>
      </c>
      <c r="C6" s="103">
        <v>4300</v>
      </c>
      <c r="D6" s="104"/>
      <c r="E6" s="105"/>
      <c r="F6" s="103">
        <v>4300</v>
      </c>
      <c r="G6" s="104"/>
      <c r="H6" s="105"/>
      <c r="I6" s="103">
        <v>4300</v>
      </c>
      <c r="J6" s="104"/>
      <c r="K6" s="105"/>
      <c r="L6" s="103">
        <v>4300</v>
      </c>
      <c r="M6" s="104"/>
      <c r="N6" s="105"/>
      <c r="O6" s="103">
        <v>4300</v>
      </c>
      <c r="P6" s="104"/>
      <c r="Q6" s="105"/>
      <c r="R6" s="103">
        <v>4300</v>
      </c>
      <c r="S6" s="104"/>
      <c r="T6" s="105"/>
      <c r="U6" s="103">
        <v>4200</v>
      </c>
      <c r="V6" s="104"/>
      <c r="W6" s="105"/>
      <c r="X6" s="103">
        <v>4150</v>
      </c>
      <c r="Y6" s="104"/>
      <c r="Z6" s="105"/>
      <c r="AA6" s="103">
        <v>4050</v>
      </c>
      <c r="AB6" s="104"/>
      <c r="AC6" s="105"/>
      <c r="AD6" s="103">
        <v>4050</v>
      </c>
      <c r="AE6" s="104"/>
      <c r="AF6" s="105"/>
      <c r="AG6" s="103">
        <v>4000</v>
      </c>
      <c r="AH6" s="104"/>
      <c r="AI6" s="105"/>
    </row>
    <row r="7" spans="2:36" ht="15.75" thickBot="1" x14ac:dyDescent="0.3">
      <c r="B7" s="106" t="s">
        <v>28</v>
      </c>
      <c r="C7" s="34" t="s">
        <v>20</v>
      </c>
      <c r="D7" s="35" t="s">
        <v>21</v>
      </c>
      <c r="E7" s="36" t="s">
        <v>22</v>
      </c>
      <c r="F7" s="34" t="s">
        <v>20</v>
      </c>
      <c r="G7" s="35" t="s">
        <v>21</v>
      </c>
      <c r="H7" s="36" t="s">
        <v>22</v>
      </c>
      <c r="I7" s="34" t="s">
        <v>20</v>
      </c>
      <c r="J7" s="35" t="s">
        <v>21</v>
      </c>
      <c r="K7" s="36" t="s">
        <v>22</v>
      </c>
      <c r="L7" s="34" t="s">
        <v>20</v>
      </c>
      <c r="M7" s="35" t="s">
        <v>21</v>
      </c>
      <c r="N7" s="36" t="s">
        <v>22</v>
      </c>
      <c r="O7" s="34" t="s">
        <v>20</v>
      </c>
      <c r="P7" s="35" t="s">
        <v>21</v>
      </c>
      <c r="Q7" s="36" t="s">
        <v>22</v>
      </c>
      <c r="R7" s="34" t="s">
        <v>20</v>
      </c>
      <c r="S7" s="35" t="s">
        <v>21</v>
      </c>
      <c r="T7" s="36" t="s">
        <v>22</v>
      </c>
      <c r="U7" s="34" t="s">
        <v>20</v>
      </c>
      <c r="V7" s="35" t="s">
        <v>21</v>
      </c>
      <c r="W7" s="36" t="s">
        <v>22</v>
      </c>
      <c r="X7" s="34" t="s">
        <v>20</v>
      </c>
      <c r="Y7" s="35" t="s">
        <v>21</v>
      </c>
      <c r="Z7" s="36" t="s">
        <v>22</v>
      </c>
      <c r="AA7" s="34" t="s">
        <v>20</v>
      </c>
      <c r="AB7" s="35" t="s">
        <v>21</v>
      </c>
      <c r="AC7" s="36" t="s">
        <v>22</v>
      </c>
      <c r="AD7" s="34" t="s">
        <v>20</v>
      </c>
      <c r="AE7" s="35" t="s">
        <v>21</v>
      </c>
      <c r="AF7" s="36" t="s">
        <v>22</v>
      </c>
      <c r="AG7" s="34" t="s">
        <v>20</v>
      </c>
      <c r="AH7" s="35" t="s">
        <v>21</v>
      </c>
      <c r="AI7" s="36" t="s">
        <v>22</v>
      </c>
    </row>
    <row r="8" spans="2:36" x14ac:dyDescent="0.25">
      <c r="B8" s="107"/>
      <c r="C8" s="27">
        <v>6400</v>
      </c>
      <c r="D8" s="28">
        <v>0.1</v>
      </c>
      <c r="E8" s="19">
        <v>0</v>
      </c>
      <c r="F8" s="27">
        <v>6000</v>
      </c>
      <c r="G8" s="28">
        <v>0.1</v>
      </c>
      <c r="H8" s="19">
        <v>0</v>
      </c>
      <c r="I8" s="27">
        <v>4350</v>
      </c>
      <c r="J8" s="28">
        <v>0.1</v>
      </c>
      <c r="K8" s="19">
        <v>0</v>
      </c>
      <c r="L8" s="27">
        <v>4350</v>
      </c>
      <c r="M8" s="28">
        <v>0.1</v>
      </c>
      <c r="N8" s="19">
        <v>0</v>
      </c>
      <c r="O8" s="27">
        <v>3950</v>
      </c>
      <c r="P8" s="28">
        <v>0.1</v>
      </c>
      <c r="Q8" s="19">
        <v>0</v>
      </c>
      <c r="R8" s="27">
        <v>3800</v>
      </c>
      <c r="S8" s="28">
        <v>0.1</v>
      </c>
      <c r="T8" s="19">
        <v>0</v>
      </c>
      <c r="U8" s="27">
        <v>3800</v>
      </c>
      <c r="V8" s="28">
        <v>0.1</v>
      </c>
      <c r="W8" s="19">
        <v>0</v>
      </c>
      <c r="X8" s="27">
        <v>3700</v>
      </c>
      <c r="Y8" s="28">
        <v>0.1</v>
      </c>
      <c r="Z8" s="19">
        <v>0</v>
      </c>
      <c r="AA8" s="27">
        <v>2300</v>
      </c>
      <c r="AB8" s="28">
        <v>0.1</v>
      </c>
      <c r="AC8" s="19">
        <v>0</v>
      </c>
      <c r="AD8" s="27">
        <v>2250</v>
      </c>
      <c r="AE8" s="28">
        <v>0.1</v>
      </c>
      <c r="AF8" s="19">
        <v>0</v>
      </c>
      <c r="AG8" s="27">
        <v>2300</v>
      </c>
      <c r="AH8" s="28">
        <v>0.1</v>
      </c>
      <c r="AI8" s="19">
        <v>0</v>
      </c>
    </row>
    <row r="9" spans="2:36" x14ac:dyDescent="0.25">
      <c r="B9" s="107"/>
      <c r="C9" s="29">
        <v>18325</v>
      </c>
      <c r="D9" s="30">
        <v>0.12</v>
      </c>
      <c r="E9" s="22">
        <f>(C9-C8)*D8+E8</f>
        <v>1192.5</v>
      </c>
      <c r="F9" s="29">
        <v>17600</v>
      </c>
      <c r="G9" s="30">
        <v>0.12</v>
      </c>
      <c r="H9" s="22">
        <f>(F9-F8)*G8+H8</f>
        <v>1160</v>
      </c>
      <c r="I9" s="29">
        <v>14625</v>
      </c>
      <c r="J9" s="30">
        <v>0.12</v>
      </c>
      <c r="K9" s="22">
        <f>(I9-I8)*J8+K8</f>
        <v>1027.5</v>
      </c>
      <c r="L9" s="29">
        <v>14625</v>
      </c>
      <c r="M9" s="30">
        <v>0.12</v>
      </c>
      <c r="N9" s="22">
        <f>(L9-L8)*M8+N8</f>
        <v>1027.5</v>
      </c>
      <c r="O9" s="29">
        <v>13900</v>
      </c>
      <c r="P9" s="30">
        <v>0.12</v>
      </c>
      <c r="Q9" s="22">
        <f>(O9-O8)*P8+Q8</f>
        <v>995</v>
      </c>
      <c r="R9" s="29">
        <v>13675</v>
      </c>
      <c r="S9" s="30">
        <v>0.12</v>
      </c>
      <c r="T9" s="22">
        <f>(R9-R8)*S8+T8</f>
        <v>987.5</v>
      </c>
      <c r="U9" s="29">
        <v>13500</v>
      </c>
      <c r="V9" s="30">
        <v>0.12</v>
      </c>
      <c r="W9" s="22">
        <f>(U9-U8)*V8+W8</f>
        <v>970</v>
      </c>
      <c r="X9" s="29">
        <v>13225</v>
      </c>
      <c r="Y9" s="30">
        <v>0.12</v>
      </c>
      <c r="Z9" s="22">
        <f>(X9-X8)*Y8+Z8</f>
        <v>952.5</v>
      </c>
      <c r="AA9" s="29">
        <v>11625</v>
      </c>
      <c r="AB9" s="30">
        <v>0.15</v>
      </c>
      <c r="AC9" s="22">
        <f>(AA9-AA8)*AB8+AC8</f>
        <v>932.5</v>
      </c>
      <c r="AD9" s="29">
        <v>11525</v>
      </c>
      <c r="AE9" s="30">
        <v>0.15</v>
      </c>
      <c r="AF9" s="22">
        <f>(AD9-AD8)*AE8+AF8</f>
        <v>927.5</v>
      </c>
      <c r="AG9" s="29">
        <v>11525</v>
      </c>
      <c r="AH9" s="30">
        <v>0.15</v>
      </c>
      <c r="AI9" s="22">
        <f>(AG9-AG8)*AH8+AI8</f>
        <v>922.5</v>
      </c>
      <c r="AJ9" s="14"/>
    </row>
    <row r="10" spans="2:36" x14ac:dyDescent="0.25">
      <c r="B10" s="107"/>
      <c r="C10" s="29">
        <v>54875</v>
      </c>
      <c r="D10" s="30">
        <v>0.22</v>
      </c>
      <c r="E10" s="22">
        <f>(C10-C9)*D9+E9</f>
        <v>5578.5</v>
      </c>
      <c r="F10" s="29">
        <v>53150</v>
      </c>
      <c r="G10" s="30">
        <v>0.22</v>
      </c>
      <c r="H10" s="22">
        <f>(F10-F9)*G9+H9</f>
        <v>5426</v>
      </c>
      <c r="I10" s="29">
        <v>46125</v>
      </c>
      <c r="J10" s="30">
        <v>0.22</v>
      </c>
      <c r="K10" s="22">
        <f t="shared" ref="K10:K13" si="0">(I10-I9)*J9+K9</f>
        <v>4807.5</v>
      </c>
      <c r="L10" s="29">
        <v>46125</v>
      </c>
      <c r="M10" s="30">
        <v>0.22</v>
      </c>
      <c r="N10" s="22">
        <f t="shared" ref="N10:N13" si="1">(L10-L9)*M9+N9</f>
        <v>4807.5</v>
      </c>
      <c r="O10" s="29">
        <v>44475</v>
      </c>
      <c r="P10" s="30">
        <v>0.22</v>
      </c>
      <c r="Q10" s="22">
        <f t="shared" ref="Q10:Q13" si="2">(O10-O9)*P9+Q9</f>
        <v>4664</v>
      </c>
      <c r="R10" s="29">
        <v>43925</v>
      </c>
      <c r="S10" s="30">
        <v>0.22</v>
      </c>
      <c r="T10" s="22">
        <f t="shared" ref="T10:T13" si="3">(R10-R9)*S9+T9</f>
        <v>4617.5</v>
      </c>
      <c r="U10" s="29">
        <v>43275</v>
      </c>
      <c r="V10" s="30">
        <v>0.22</v>
      </c>
      <c r="W10" s="22">
        <f t="shared" ref="W10:W13" si="4">(U10-U9)*V9+W9</f>
        <v>4543</v>
      </c>
      <c r="X10" s="29">
        <v>42400</v>
      </c>
      <c r="Y10" s="30">
        <v>0.22</v>
      </c>
      <c r="Z10" s="22">
        <f t="shared" ref="Z10:Z13" si="5">(X10-X9)*Y9+Z9</f>
        <v>4453.5</v>
      </c>
      <c r="AA10" s="29">
        <v>40250</v>
      </c>
      <c r="AB10" s="30">
        <v>0.25</v>
      </c>
      <c r="AC10" s="22">
        <f t="shared" ref="AC10:AC14" si="6">(AA10-AA9)*AB9+AC9</f>
        <v>5226.25</v>
      </c>
      <c r="AD10" s="29">
        <v>39900</v>
      </c>
      <c r="AE10" s="30">
        <v>0.25</v>
      </c>
      <c r="AF10" s="22">
        <f t="shared" ref="AF10:AF14" si="7">(AD10-AD9)*AE9+AF9</f>
        <v>5183.75</v>
      </c>
      <c r="AG10" s="29">
        <v>39750</v>
      </c>
      <c r="AH10" s="30">
        <v>0.25</v>
      </c>
      <c r="AI10" s="22">
        <f t="shared" ref="AI10:AI14" si="8">(AG10-AG9)*AH9+AI9</f>
        <v>5156.25</v>
      </c>
      <c r="AJ10" s="14"/>
    </row>
    <row r="11" spans="2:36" x14ac:dyDescent="0.25">
      <c r="B11" s="107"/>
      <c r="C11" s="29">
        <v>109750</v>
      </c>
      <c r="D11" s="30">
        <v>0.24</v>
      </c>
      <c r="E11" s="22">
        <f t="shared" ref="E11:E14" si="9">(C11-C10)*D10+E10</f>
        <v>17651</v>
      </c>
      <c r="F11" s="29">
        <v>106525</v>
      </c>
      <c r="G11" s="30">
        <v>0.24</v>
      </c>
      <c r="H11" s="22">
        <f t="shared" ref="H11:H14" si="10">(F11-F10)*G10+H10</f>
        <v>17168.5</v>
      </c>
      <c r="I11" s="29">
        <v>93425</v>
      </c>
      <c r="J11" s="30">
        <v>0.24</v>
      </c>
      <c r="K11" s="22">
        <f t="shared" si="0"/>
        <v>15213.5</v>
      </c>
      <c r="L11" s="29">
        <v>93425</v>
      </c>
      <c r="M11" s="30">
        <v>0.24</v>
      </c>
      <c r="N11" s="22">
        <f t="shared" si="1"/>
        <v>15213.5</v>
      </c>
      <c r="O11" s="29">
        <v>90325</v>
      </c>
      <c r="P11" s="30">
        <v>0.24</v>
      </c>
      <c r="Q11" s="22">
        <f t="shared" si="2"/>
        <v>14751</v>
      </c>
      <c r="R11" s="29">
        <v>89325</v>
      </c>
      <c r="S11" s="30">
        <v>0.24</v>
      </c>
      <c r="T11" s="22">
        <f t="shared" si="3"/>
        <v>14605.5</v>
      </c>
      <c r="U11" s="29">
        <v>88000</v>
      </c>
      <c r="V11" s="30">
        <v>0.24</v>
      </c>
      <c r="W11" s="22">
        <f t="shared" si="4"/>
        <v>14382.5</v>
      </c>
      <c r="X11" s="29">
        <v>86200</v>
      </c>
      <c r="Y11" s="30">
        <v>0.24</v>
      </c>
      <c r="Z11" s="22">
        <f t="shared" si="5"/>
        <v>14089.5</v>
      </c>
      <c r="AA11" s="29">
        <v>94200</v>
      </c>
      <c r="AB11" s="30">
        <v>0.28000000000000003</v>
      </c>
      <c r="AC11" s="22">
        <f t="shared" si="6"/>
        <v>18713.75</v>
      </c>
      <c r="AD11" s="29">
        <v>93400</v>
      </c>
      <c r="AE11" s="30">
        <v>0.28000000000000003</v>
      </c>
      <c r="AF11" s="22">
        <f t="shared" si="7"/>
        <v>18558.75</v>
      </c>
      <c r="AG11" s="29">
        <v>93050</v>
      </c>
      <c r="AH11" s="30">
        <v>0.28000000000000003</v>
      </c>
      <c r="AI11" s="22">
        <f t="shared" si="8"/>
        <v>18481.25</v>
      </c>
      <c r="AJ11" s="14"/>
    </row>
    <row r="12" spans="2:36" x14ac:dyDescent="0.25">
      <c r="B12" s="107"/>
      <c r="C12" s="29">
        <v>203700</v>
      </c>
      <c r="D12" s="30">
        <v>0.32</v>
      </c>
      <c r="E12" s="22">
        <f t="shared" si="9"/>
        <v>40199</v>
      </c>
      <c r="F12" s="29">
        <v>197950</v>
      </c>
      <c r="G12" s="30">
        <v>0.32</v>
      </c>
      <c r="H12" s="22">
        <f t="shared" si="10"/>
        <v>39110.5</v>
      </c>
      <c r="I12" s="29">
        <v>174400</v>
      </c>
      <c r="J12" s="30">
        <v>0.32</v>
      </c>
      <c r="K12" s="22">
        <f t="shared" si="0"/>
        <v>34647.5</v>
      </c>
      <c r="L12" s="29">
        <v>174400</v>
      </c>
      <c r="M12" s="30">
        <v>0.32</v>
      </c>
      <c r="N12" s="22">
        <f t="shared" si="1"/>
        <v>34647.5</v>
      </c>
      <c r="O12" s="29">
        <v>168875</v>
      </c>
      <c r="P12" s="30">
        <v>0.32</v>
      </c>
      <c r="Q12" s="22">
        <f t="shared" si="2"/>
        <v>33603</v>
      </c>
      <c r="R12" s="29">
        <v>167100</v>
      </c>
      <c r="S12" s="30">
        <v>0.32</v>
      </c>
      <c r="T12" s="22">
        <f t="shared" si="3"/>
        <v>33271.5</v>
      </c>
      <c r="U12" s="29">
        <v>164525</v>
      </c>
      <c r="V12" s="30">
        <v>0.32</v>
      </c>
      <c r="W12" s="22">
        <f t="shared" si="4"/>
        <v>32748.5</v>
      </c>
      <c r="X12" s="29">
        <v>161200</v>
      </c>
      <c r="Y12" s="30">
        <v>0.32</v>
      </c>
      <c r="Z12" s="22">
        <f t="shared" si="5"/>
        <v>32089.5</v>
      </c>
      <c r="AA12" s="29">
        <v>193950</v>
      </c>
      <c r="AB12" s="30">
        <v>0.33</v>
      </c>
      <c r="AC12" s="22">
        <f t="shared" si="6"/>
        <v>46643.75</v>
      </c>
      <c r="AD12" s="29">
        <v>192400</v>
      </c>
      <c r="AE12" s="30">
        <v>0.33</v>
      </c>
      <c r="AF12" s="22">
        <f t="shared" si="7"/>
        <v>46278.75</v>
      </c>
      <c r="AG12" s="29">
        <v>191600</v>
      </c>
      <c r="AH12" s="30">
        <v>0.33</v>
      </c>
      <c r="AI12" s="22">
        <f t="shared" si="8"/>
        <v>46075.25</v>
      </c>
      <c r="AJ12" s="14"/>
    </row>
    <row r="13" spans="2:36" x14ac:dyDescent="0.25">
      <c r="B13" s="107"/>
      <c r="C13" s="29">
        <v>256925</v>
      </c>
      <c r="D13" s="30">
        <v>0.35</v>
      </c>
      <c r="E13" s="22">
        <f t="shared" si="9"/>
        <v>57231</v>
      </c>
      <c r="F13" s="29">
        <v>249725</v>
      </c>
      <c r="G13" s="30">
        <v>0.35</v>
      </c>
      <c r="H13" s="22">
        <f t="shared" si="10"/>
        <v>55678.5</v>
      </c>
      <c r="I13" s="29">
        <v>220300</v>
      </c>
      <c r="J13" s="30">
        <v>0.35</v>
      </c>
      <c r="K13" s="22">
        <f t="shared" si="0"/>
        <v>49335.5</v>
      </c>
      <c r="L13" s="29">
        <v>220300</v>
      </c>
      <c r="M13" s="30">
        <v>0.35</v>
      </c>
      <c r="N13" s="22">
        <f t="shared" si="1"/>
        <v>49335.5</v>
      </c>
      <c r="O13" s="29">
        <v>213375</v>
      </c>
      <c r="P13" s="30">
        <v>0.35</v>
      </c>
      <c r="Q13" s="22">
        <f t="shared" si="2"/>
        <v>47843</v>
      </c>
      <c r="R13" s="29">
        <v>211150</v>
      </c>
      <c r="S13" s="30">
        <v>0.35</v>
      </c>
      <c r="T13" s="22">
        <f t="shared" si="3"/>
        <v>47367.5</v>
      </c>
      <c r="U13" s="29">
        <v>207900</v>
      </c>
      <c r="V13" s="30">
        <v>0.35</v>
      </c>
      <c r="W13" s="22">
        <f t="shared" si="4"/>
        <v>46628.5</v>
      </c>
      <c r="X13" s="29">
        <v>203700</v>
      </c>
      <c r="Y13" s="30">
        <v>0.35</v>
      </c>
      <c r="Z13" s="22">
        <f t="shared" si="5"/>
        <v>45689.5</v>
      </c>
      <c r="AA13" s="29">
        <v>419000</v>
      </c>
      <c r="AB13" s="30">
        <v>0.35</v>
      </c>
      <c r="AC13" s="22">
        <f t="shared" si="6"/>
        <v>120910.25</v>
      </c>
      <c r="AD13" s="29">
        <v>415600</v>
      </c>
      <c r="AE13" s="30">
        <v>0.35</v>
      </c>
      <c r="AF13" s="22">
        <f t="shared" si="7"/>
        <v>119934.75</v>
      </c>
      <c r="AG13" s="29">
        <v>413800</v>
      </c>
      <c r="AH13" s="30">
        <v>0.35</v>
      </c>
      <c r="AI13" s="22">
        <f t="shared" si="8"/>
        <v>119401.25</v>
      </c>
      <c r="AJ13" s="14"/>
    </row>
    <row r="14" spans="2:36" ht="15.75" thickBot="1" x14ac:dyDescent="0.3">
      <c r="B14" s="108"/>
      <c r="C14" s="31">
        <v>632750</v>
      </c>
      <c r="D14" s="32">
        <v>0.37</v>
      </c>
      <c r="E14" s="22">
        <f t="shared" si="9"/>
        <v>188769.75</v>
      </c>
      <c r="F14" s="31">
        <v>615350</v>
      </c>
      <c r="G14" s="32">
        <v>0.37</v>
      </c>
      <c r="H14" s="22">
        <f t="shared" si="10"/>
        <v>183647.25</v>
      </c>
      <c r="I14" s="31">
        <v>544250</v>
      </c>
      <c r="J14" s="32">
        <v>0.37</v>
      </c>
      <c r="K14" s="25">
        <f>(I14-I13)*J13+K13</f>
        <v>162718</v>
      </c>
      <c r="L14" s="31">
        <v>544250</v>
      </c>
      <c r="M14" s="32">
        <v>0.37</v>
      </c>
      <c r="N14" s="25">
        <f>(L14-L13)*M13+N13</f>
        <v>162718</v>
      </c>
      <c r="O14" s="31">
        <v>527550</v>
      </c>
      <c r="P14" s="32">
        <v>0.37</v>
      </c>
      <c r="Q14" s="25">
        <f>(O14-O13)*P13+Q13</f>
        <v>157804.25</v>
      </c>
      <c r="R14" s="31">
        <v>522200</v>
      </c>
      <c r="S14" s="32">
        <v>0.37</v>
      </c>
      <c r="T14" s="25">
        <f>(R14-R13)*S13+T13</f>
        <v>156235</v>
      </c>
      <c r="U14" s="31">
        <v>514100</v>
      </c>
      <c r="V14" s="32">
        <v>0.37</v>
      </c>
      <c r="W14" s="25">
        <f>(U14-U13)*V13+W13</f>
        <v>153798.5</v>
      </c>
      <c r="X14" s="31">
        <v>503700</v>
      </c>
      <c r="Y14" s="32">
        <v>0.37</v>
      </c>
      <c r="Z14" s="25">
        <f>(X14-X13)*Y13+Z13</f>
        <v>150689.5</v>
      </c>
      <c r="AA14" s="31">
        <v>420700</v>
      </c>
      <c r="AB14" s="32">
        <v>0.39600000000000002</v>
      </c>
      <c r="AC14" s="25">
        <f t="shared" si="6"/>
        <v>121505.25</v>
      </c>
      <c r="AD14" s="31">
        <v>417300</v>
      </c>
      <c r="AE14" s="32">
        <v>0.39600000000000002</v>
      </c>
      <c r="AF14" s="25">
        <f t="shared" si="7"/>
        <v>120529.75</v>
      </c>
      <c r="AG14" s="31">
        <v>415500</v>
      </c>
      <c r="AH14" s="32">
        <v>0.39600000000000002</v>
      </c>
      <c r="AI14" s="25">
        <f t="shared" si="8"/>
        <v>119996.25</v>
      </c>
      <c r="AJ14" s="14"/>
    </row>
    <row r="15" spans="2:36" ht="15.75" thickBot="1" x14ac:dyDescent="0.3">
      <c r="B15" s="107" t="s">
        <v>29</v>
      </c>
      <c r="C15" s="34" t="s">
        <v>20</v>
      </c>
      <c r="D15" s="35" t="s">
        <v>21</v>
      </c>
      <c r="E15" s="36" t="s">
        <v>22</v>
      </c>
      <c r="F15" s="34" t="s">
        <v>20</v>
      </c>
      <c r="G15" s="35" t="s">
        <v>21</v>
      </c>
      <c r="H15" s="36" t="s">
        <v>22</v>
      </c>
      <c r="I15" s="37" t="s">
        <v>20</v>
      </c>
      <c r="J15" s="38" t="s">
        <v>21</v>
      </c>
      <c r="K15" s="39" t="s">
        <v>22</v>
      </c>
      <c r="L15" s="37" t="s">
        <v>20</v>
      </c>
      <c r="M15" s="38" t="s">
        <v>21</v>
      </c>
      <c r="N15" s="39" t="s">
        <v>22</v>
      </c>
      <c r="O15" s="37" t="s">
        <v>20</v>
      </c>
      <c r="P15" s="38" t="s">
        <v>21</v>
      </c>
      <c r="Q15" s="39" t="s">
        <v>22</v>
      </c>
      <c r="R15" s="37" t="s">
        <v>20</v>
      </c>
      <c r="S15" s="38" t="s">
        <v>21</v>
      </c>
      <c r="T15" s="39" t="s">
        <v>22</v>
      </c>
      <c r="U15" s="37" t="s">
        <v>20</v>
      </c>
      <c r="V15" s="38" t="s">
        <v>21</v>
      </c>
      <c r="W15" s="39" t="s">
        <v>22</v>
      </c>
      <c r="X15" s="37" t="s">
        <v>20</v>
      </c>
      <c r="Y15" s="38" t="s">
        <v>21</v>
      </c>
      <c r="Z15" s="39" t="s">
        <v>22</v>
      </c>
      <c r="AA15" s="37" t="s">
        <v>20</v>
      </c>
      <c r="AB15" s="38" t="s">
        <v>21</v>
      </c>
      <c r="AC15" s="39" t="s">
        <v>22</v>
      </c>
      <c r="AD15" s="37" t="s">
        <v>20</v>
      </c>
      <c r="AE15" s="38" t="s">
        <v>21</v>
      </c>
      <c r="AF15" s="39" t="s">
        <v>22</v>
      </c>
      <c r="AG15" s="37" t="s">
        <v>20</v>
      </c>
      <c r="AH15" s="38" t="s">
        <v>21</v>
      </c>
      <c r="AI15" s="39" t="s">
        <v>22</v>
      </c>
    </row>
    <row r="16" spans="2:36" x14ac:dyDescent="0.25">
      <c r="B16" s="107"/>
      <c r="C16" s="27">
        <v>17100</v>
      </c>
      <c r="D16" s="28">
        <v>0.1</v>
      </c>
      <c r="E16" s="19">
        <v>0</v>
      </c>
      <c r="F16" s="27">
        <v>16300</v>
      </c>
      <c r="G16" s="28">
        <v>0.1</v>
      </c>
      <c r="H16" s="19">
        <v>0</v>
      </c>
      <c r="I16" s="27">
        <v>13000</v>
      </c>
      <c r="J16" s="28">
        <v>0.1</v>
      </c>
      <c r="K16" s="19">
        <v>0</v>
      </c>
      <c r="L16" s="27">
        <v>13000</v>
      </c>
      <c r="M16" s="28">
        <v>0.1</v>
      </c>
      <c r="N16" s="19">
        <v>0</v>
      </c>
      <c r="O16" s="27">
        <v>12200</v>
      </c>
      <c r="P16" s="28">
        <v>0.1</v>
      </c>
      <c r="Q16" s="19">
        <v>0</v>
      </c>
      <c r="R16" s="27">
        <v>11900</v>
      </c>
      <c r="S16" s="28">
        <v>0.1</v>
      </c>
      <c r="T16" s="19">
        <v>0</v>
      </c>
      <c r="U16" s="27">
        <v>11800</v>
      </c>
      <c r="V16" s="28">
        <v>0.1</v>
      </c>
      <c r="W16" s="19">
        <v>0</v>
      </c>
      <c r="X16" s="27">
        <v>11550</v>
      </c>
      <c r="Y16" s="28">
        <v>0.1</v>
      </c>
      <c r="Z16" s="19">
        <v>0</v>
      </c>
      <c r="AA16" s="27">
        <v>8650</v>
      </c>
      <c r="AB16" s="28">
        <v>0.1</v>
      </c>
      <c r="AC16" s="19">
        <v>0</v>
      </c>
      <c r="AD16" s="27">
        <v>8550</v>
      </c>
      <c r="AE16" s="28">
        <v>0.1</v>
      </c>
      <c r="AF16" s="19">
        <v>0</v>
      </c>
      <c r="AG16" s="27">
        <v>8600</v>
      </c>
      <c r="AH16" s="28">
        <v>0.1</v>
      </c>
      <c r="AI16" s="19">
        <v>0</v>
      </c>
    </row>
    <row r="17" spans="2:35" x14ac:dyDescent="0.25">
      <c r="B17" s="107"/>
      <c r="C17" s="29">
        <v>40950</v>
      </c>
      <c r="D17" s="30">
        <v>0.12</v>
      </c>
      <c r="E17" s="22">
        <f>(C17-C16)*D16+E16</f>
        <v>2385</v>
      </c>
      <c r="F17" s="29">
        <v>39500</v>
      </c>
      <c r="G17" s="30">
        <v>0.12</v>
      </c>
      <c r="H17" s="22">
        <f>(F17-F16)*G16+H16</f>
        <v>2320</v>
      </c>
      <c r="I17" s="29">
        <v>33550</v>
      </c>
      <c r="J17" s="30">
        <v>0.12</v>
      </c>
      <c r="K17" s="22">
        <f>(I17-I16)*J16+K16</f>
        <v>2055</v>
      </c>
      <c r="L17" s="29">
        <v>33550</v>
      </c>
      <c r="M17" s="30">
        <v>0.12</v>
      </c>
      <c r="N17" s="22">
        <f>(L17-L16)*M16+N16</f>
        <v>2055</v>
      </c>
      <c r="O17" s="29">
        <v>32100</v>
      </c>
      <c r="P17" s="30">
        <v>0.12</v>
      </c>
      <c r="Q17" s="22">
        <f>(O17-O16)*P16+Q16</f>
        <v>1990</v>
      </c>
      <c r="R17" s="29">
        <v>31650</v>
      </c>
      <c r="S17" s="30">
        <v>0.12</v>
      </c>
      <c r="T17" s="22">
        <f>(R17-R16)*S16+T16</f>
        <v>1975</v>
      </c>
      <c r="U17" s="29">
        <v>31200</v>
      </c>
      <c r="V17" s="30">
        <v>0.12</v>
      </c>
      <c r="W17" s="22">
        <f>(U17-U16)*V16+W16</f>
        <v>1940</v>
      </c>
      <c r="X17" s="29">
        <v>30600</v>
      </c>
      <c r="Y17" s="30">
        <v>0.12</v>
      </c>
      <c r="Z17" s="22">
        <f>(X17-X16)*Y16+Z16</f>
        <v>1905</v>
      </c>
      <c r="AA17" s="29">
        <v>27300</v>
      </c>
      <c r="AB17" s="30">
        <v>0.15</v>
      </c>
      <c r="AC17" s="22">
        <f>(AA17-AA16)*AB16+AC16</f>
        <v>1865</v>
      </c>
      <c r="AD17" s="29">
        <v>27100</v>
      </c>
      <c r="AE17" s="30">
        <v>0.15</v>
      </c>
      <c r="AF17" s="22">
        <f>(AD17-AD16)*AE16+AF16</f>
        <v>1855</v>
      </c>
      <c r="AG17" s="29">
        <v>27050</v>
      </c>
      <c r="AH17" s="30">
        <v>0.15</v>
      </c>
      <c r="AI17" s="22">
        <f>(AG17-AG16)*AH16+AI16</f>
        <v>1845</v>
      </c>
    </row>
    <row r="18" spans="2:35" x14ac:dyDescent="0.25">
      <c r="B18" s="107"/>
      <c r="C18" s="29">
        <v>114050</v>
      </c>
      <c r="D18" s="30">
        <v>0.22</v>
      </c>
      <c r="E18" s="22">
        <f t="shared" ref="E18:E22" si="11">(C18-C17)*D17+E17</f>
        <v>11157</v>
      </c>
      <c r="F18" s="29">
        <v>110600</v>
      </c>
      <c r="G18" s="30">
        <v>0.22</v>
      </c>
      <c r="H18" s="22">
        <f t="shared" ref="H18:H22" si="12">(F18-F17)*G17+H17</f>
        <v>10852</v>
      </c>
      <c r="I18" s="29">
        <v>96550</v>
      </c>
      <c r="J18" s="30">
        <v>0.22</v>
      </c>
      <c r="K18" s="22">
        <f t="shared" ref="K18:K21" si="13">(I18-I17)*J17+K17</f>
        <v>9615</v>
      </c>
      <c r="L18" s="29">
        <v>96550</v>
      </c>
      <c r="M18" s="30">
        <v>0.22</v>
      </c>
      <c r="N18" s="22">
        <f t="shared" ref="N18:N21" si="14">(L18-L17)*M17+N17</f>
        <v>9615</v>
      </c>
      <c r="O18" s="29">
        <v>93250</v>
      </c>
      <c r="P18" s="30">
        <v>0.22</v>
      </c>
      <c r="Q18" s="22">
        <f t="shared" ref="Q18:Q21" si="15">(O18-O17)*P17+Q17</f>
        <v>9328</v>
      </c>
      <c r="R18" s="29">
        <v>92150</v>
      </c>
      <c r="S18" s="30">
        <v>0.22</v>
      </c>
      <c r="T18" s="22">
        <f t="shared" ref="T18:T21" si="16">(R18-R17)*S17+T17</f>
        <v>9235</v>
      </c>
      <c r="U18" s="29">
        <v>90750</v>
      </c>
      <c r="V18" s="30">
        <v>0.22</v>
      </c>
      <c r="W18" s="22">
        <f t="shared" ref="W18:W21" si="17">(U18-U17)*V17+W17</f>
        <v>9086</v>
      </c>
      <c r="X18" s="29">
        <v>88950</v>
      </c>
      <c r="Y18" s="30">
        <v>0.22</v>
      </c>
      <c r="Z18" s="22">
        <f t="shared" ref="Z18:Z21" si="18">(X18-X17)*Y17+Z17</f>
        <v>8907</v>
      </c>
      <c r="AA18" s="29">
        <v>84550</v>
      </c>
      <c r="AB18" s="30">
        <v>0.25</v>
      </c>
      <c r="AC18" s="22">
        <f t="shared" ref="AC18:AC22" si="19">(AA18-AA17)*AB17+AC17</f>
        <v>10452.5</v>
      </c>
      <c r="AD18" s="29">
        <v>83850</v>
      </c>
      <c r="AE18" s="30">
        <v>0.25</v>
      </c>
      <c r="AF18" s="22">
        <f t="shared" ref="AF18:AF22" si="20">(AD18-AD17)*AE17+AF17</f>
        <v>10367.5</v>
      </c>
      <c r="AG18" s="29">
        <v>83500</v>
      </c>
      <c r="AH18" s="30">
        <v>0.25</v>
      </c>
      <c r="AI18" s="22">
        <f t="shared" ref="AI18:AI22" si="21">(AG18-AG17)*AH17+AI17</f>
        <v>10312.5</v>
      </c>
    </row>
    <row r="19" spans="2:35" x14ac:dyDescent="0.25">
      <c r="B19" s="107"/>
      <c r="C19" s="29">
        <v>223800</v>
      </c>
      <c r="D19" s="30">
        <v>0.24</v>
      </c>
      <c r="E19" s="22">
        <f t="shared" si="11"/>
        <v>35302</v>
      </c>
      <c r="F19" s="29">
        <v>217350</v>
      </c>
      <c r="G19" s="30">
        <v>0.24</v>
      </c>
      <c r="H19" s="22">
        <f t="shared" si="12"/>
        <v>34337</v>
      </c>
      <c r="I19" s="29">
        <v>191150</v>
      </c>
      <c r="J19" s="30">
        <v>0.24</v>
      </c>
      <c r="K19" s="22">
        <f t="shared" si="13"/>
        <v>30427</v>
      </c>
      <c r="L19" s="29">
        <v>191150</v>
      </c>
      <c r="M19" s="30">
        <v>0.24</v>
      </c>
      <c r="N19" s="22">
        <f t="shared" si="14"/>
        <v>30427</v>
      </c>
      <c r="O19" s="29">
        <v>184950</v>
      </c>
      <c r="P19" s="30">
        <v>0.24</v>
      </c>
      <c r="Q19" s="22">
        <f t="shared" si="15"/>
        <v>29502</v>
      </c>
      <c r="R19" s="29">
        <v>182950</v>
      </c>
      <c r="S19" s="30">
        <v>0.24</v>
      </c>
      <c r="T19" s="22">
        <f t="shared" si="16"/>
        <v>29211</v>
      </c>
      <c r="U19" s="29">
        <v>180200</v>
      </c>
      <c r="V19" s="30">
        <v>0.24</v>
      </c>
      <c r="W19" s="22">
        <f t="shared" si="17"/>
        <v>28765</v>
      </c>
      <c r="X19" s="29">
        <v>176550</v>
      </c>
      <c r="Y19" s="30">
        <v>0.24</v>
      </c>
      <c r="Z19" s="22">
        <f t="shared" si="18"/>
        <v>28179</v>
      </c>
      <c r="AA19" s="29">
        <v>161750</v>
      </c>
      <c r="AB19" s="30">
        <v>0.28000000000000003</v>
      </c>
      <c r="AC19" s="22">
        <f t="shared" si="19"/>
        <v>29752.5</v>
      </c>
      <c r="AD19" s="29">
        <v>160450</v>
      </c>
      <c r="AE19" s="30">
        <v>0.28000000000000003</v>
      </c>
      <c r="AF19" s="22">
        <f t="shared" si="20"/>
        <v>29517.5</v>
      </c>
      <c r="AG19" s="29">
        <v>159800</v>
      </c>
      <c r="AH19" s="30">
        <v>0.28000000000000003</v>
      </c>
      <c r="AI19" s="22">
        <f t="shared" si="21"/>
        <v>29387.5</v>
      </c>
    </row>
    <row r="20" spans="2:35" x14ac:dyDescent="0.25">
      <c r="B20" s="107"/>
      <c r="C20" s="29">
        <v>411700</v>
      </c>
      <c r="D20" s="30">
        <v>0.32</v>
      </c>
      <c r="E20" s="22">
        <f t="shared" si="11"/>
        <v>80398</v>
      </c>
      <c r="F20" s="29">
        <v>400200</v>
      </c>
      <c r="G20" s="30">
        <v>0.32</v>
      </c>
      <c r="H20" s="22">
        <f t="shared" si="12"/>
        <v>78221</v>
      </c>
      <c r="I20" s="29">
        <v>353100</v>
      </c>
      <c r="J20" s="30">
        <v>0.32</v>
      </c>
      <c r="K20" s="22">
        <f t="shared" si="13"/>
        <v>69295</v>
      </c>
      <c r="L20" s="29">
        <v>353100</v>
      </c>
      <c r="M20" s="30">
        <v>0.32</v>
      </c>
      <c r="N20" s="22">
        <f t="shared" si="14"/>
        <v>69295</v>
      </c>
      <c r="O20" s="29">
        <v>342050</v>
      </c>
      <c r="P20" s="30">
        <v>0.32</v>
      </c>
      <c r="Q20" s="22">
        <f t="shared" si="15"/>
        <v>67206</v>
      </c>
      <c r="R20" s="29">
        <v>338500</v>
      </c>
      <c r="S20" s="30">
        <v>0.32</v>
      </c>
      <c r="T20" s="22">
        <f t="shared" si="16"/>
        <v>66543</v>
      </c>
      <c r="U20" s="29">
        <v>333250</v>
      </c>
      <c r="V20" s="30">
        <v>0.32</v>
      </c>
      <c r="W20" s="22">
        <f t="shared" si="17"/>
        <v>65497</v>
      </c>
      <c r="X20" s="29">
        <v>326550</v>
      </c>
      <c r="Y20" s="30">
        <v>0.32</v>
      </c>
      <c r="Z20" s="22">
        <f t="shared" si="18"/>
        <v>64179</v>
      </c>
      <c r="AA20" s="29">
        <v>242000</v>
      </c>
      <c r="AB20" s="30">
        <v>0.33</v>
      </c>
      <c r="AC20" s="22">
        <f t="shared" si="19"/>
        <v>52222.5</v>
      </c>
      <c r="AD20" s="29">
        <v>240000</v>
      </c>
      <c r="AE20" s="30">
        <v>0.33</v>
      </c>
      <c r="AF20" s="22">
        <f t="shared" si="20"/>
        <v>51791.5</v>
      </c>
      <c r="AG20" s="29">
        <v>239050</v>
      </c>
      <c r="AH20" s="30">
        <v>0.33</v>
      </c>
      <c r="AI20" s="22">
        <f t="shared" si="21"/>
        <v>51577.5</v>
      </c>
    </row>
    <row r="21" spans="2:35" x14ac:dyDescent="0.25">
      <c r="B21" s="107"/>
      <c r="C21" s="29">
        <v>518150</v>
      </c>
      <c r="D21" s="30">
        <v>0.35</v>
      </c>
      <c r="E21" s="22">
        <f t="shared" si="11"/>
        <v>114462</v>
      </c>
      <c r="F21" s="29">
        <v>503750</v>
      </c>
      <c r="G21" s="30">
        <v>0.35</v>
      </c>
      <c r="H21" s="22">
        <f t="shared" si="12"/>
        <v>111357</v>
      </c>
      <c r="I21" s="29">
        <v>444900</v>
      </c>
      <c r="J21" s="30">
        <v>0.35</v>
      </c>
      <c r="K21" s="22">
        <f t="shared" si="13"/>
        <v>98671</v>
      </c>
      <c r="L21" s="29">
        <v>444900</v>
      </c>
      <c r="M21" s="30">
        <v>0.35</v>
      </c>
      <c r="N21" s="22">
        <f t="shared" si="14"/>
        <v>98671</v>
      </c>
      <c r="O21" s="29">
        <v>431050</v>
      </c>
      <c r="P21" s="30">
        <v>0.35</v>
      </c>
      <c r="Q21" s="22">
        <f t="shared" si="15"/>
        <v>95686</v>
      </c>
      <c r="R21" s="29">
        <v>426600</v>
      </c>
      <c r="S21" s="30">
        <v>0.35</v>
      </c>
      <c r="T21" s="22">
        <f t="shared" si="16"/>
        <v>94735</v>
      </c>
      <c r="U21" s="29">
        <v>420000</v>
      </c>
      <c r="V21" s="30">
        <v>0.35</v>
      </c>
      <c r="W21" s="22">
        <f t="shared" si="17"/>
        <v>93257</v>
      </c>
      <c r="X21" s="29">
        <v>411550</v>
      </c>
      <c r="Y21" s="30">
        <v>0.35</v>
      </c>
      <c r="Z21" s="22">
        <f t="shared" si="18"/>
        <v>91379</v>
      </c>
      <c r="AA21" s="29">
        <v>425350</v>
      </c>
      <c r="AB21" s="30">
        <v>0.35</v>
      </c>
      <c r="AC21" s="22">
        <f t="shared" si="19"/>
        <v>112728</v>
      </c>
      <c r="AD21" s="29">
        <v>421900</v>
      </c>
      <c r="AE21" s="30">
        <v>0.35</v>
      </c>
      <c r="AF21" s="22">
        <f t="shared" si="20"/>
        <v>111818.5</v>
      </c>
      <c r="AG21" s="29">
        <v>420100</v>
      </c>
      <c r="AH21" s="30">
        <v>0.35</v>
      </c>
      <c r="AI21" s="22">
        <f t="shared" si="21"/>
        <v>111324</v>
      </c>
    </row>
    <row r="22" spans="2:35" ht="15.75" thickBot="1" x14ac:dyDescent="0.3">
      <c r="B22" s="108"/>
      <c r="C22" s="31">
        <v>768700</v>
      </c>
      <c r="D22" s="32">
        <v>0.37</v>
      </c>
      <c r="E22" s="22">
        <f t="shared" si="11"/>
        <v>202154.5</v>
      </c>
      <c r="F22" s="31">
        <v>747500</v>
      </c>
      <c r="G22" s="32">
        <v>0.37</v>
      </c>
      <c r="H22" s="22">
        <f t="shared" si="12"/>
        <v>196669.5</v>
      </c>
      <c r="I22" s="31">
        <v>660850</v>
      </c>
      <c r="J22" s="32">
        <v>0.37</v>
      </c>
      <c r="K22" s="25">
        <f>(I22-I21)*J21+K21</f>
        <v>174253.5</v>
      </c>
      <c r="L22" s="31">
        <v>660850</v>
      </c>
      <c r="M22" s="32">
        <v>0.37</v>
      </c>
      <c r="N22" s="25">
        <f>(L22-L21)*M21+N21</f>
        <v>174253.5</v>
      </c>
      <c r="O22" s="31">
        <v>640500</v>
      </c>
      <c r="P22" s="32">
        <v>0.37</v>
      </c>
      <c r="Q22" s="25">
        <f>(O22-O21)*P21+Q21</f>
        <v>168993.5</v>
      </c>
      <c r="R22" s="31">
        <v>633950</v>
      </c>
      <c r="S22" s="32">
        <v>0.37</v>
      </c>
      <c r="T22" s="25">
        <f>(R22-R21)*S21+T21</f>
        <v>167307.5</v>
      </c>
      <c r="U22" s="31">
        <v>624150</v>
      </c>
      <c r="V22" s="32">
        <v>0.37</v>
      </c>
      <c r="W22" s="25">
        <f>(U22-U21)*V21+W21</f>
        <v>164709.5</v>
      </c>
      <c r="X22" s="31">
        <v>611550</v>
      </c>
      <c r="Y22" s="32">
        <v>0.37</v>
      </c>
      <c r="Z22" s="25">
        <f>(X22-X21)*Y21+Z21</f>
        <v>161379</v>
      </c>
      <c r="AA22" s="31">
        <v>479350</v>
      </c>
      <c r="AB22" s="32">
        <v>0.39600000000000002</v>
      </c>
      <c r="AC22" s="25">
        <f t="shared" si="19"/>
        <v>131628</v>
      </c>
      <c r="AD22" s="31">
        <v>475500</v>
      </c>
      <c r="AE22" s="32">
        <v>0.39600000000000002</v>
      </c>
      <c r="AF22" s="25">
        <f t="shared" si="20"/>
        <v>130578.5</v>
      </c>
      <c r="AG22" s="31">
        <v>473450</v>
      </c>
      <c r="AH22" s="32">
        <v>0.39600000000000002</v>
      </c>
      <c r="AI22" s="25">
        <f t="shared" si="21"/>
        <v>129996.5</v>
      </c>
    </row>
    <row r="23" spans="2:35" ht="15.75" thickBot="1" x14ac:dyDescent="0.3">
      <c r="B23" s="107" t="s">
        <v>92</v>
      </c>
      <c r="C23" s="34" t="s">
        <v>20</v>
      </c>
      <c r="D23" s="35" t="s">
        <v>21</v>
      </c>
      <c r="E23" s="36" t="s">
        <v>22</v>
      </c>
      <c r="F23" s="34" t="s">
        <v>20</v>
      </c>
      <c r="G23" s="35" t="s">
        <v>21</v>
      </c>
      <c r="H23" s="36" t="s">
        <v>22</v>
      </c>
      <c r="I23" s="37" t="s">
        <v>20</v>
      </c>
      <c r="J23" s="38" t="s">
        <v>21</v>
      </c>
      <c r="K23" s="39" t="s">
        <v>22</v>
      </c>
    </row>
    <row r="24" spans="2:35" x14ac:dyDescent="0.25">
      <c r="B24" s="107"/>
      <c r="C24" s="27">
        <v>13900</v>
      </c>
      <c r="D24" s="28">
        <v>0.1</v>
      </c>
      <c r="E24" s="19">
        <v>0</v>
      </c>
      <c r="F24" s="27">
        <v>13300</v>
      </c>
      <c r="G24" s="28">
        <v>0.1</v>
      </c>
      <c r="H24" s="19">
        <v>0</v>
      </c>
      <c r="I24" s="27">
        <v>10800</v>
      </c>
      <c r="J24" s="28">
        <v>0.1</v>
      </c>
      <c r="K24" s="19">
        <v>0</v>
      </c>
    </row>
    <row r="25" spans="2:35" x14ac:dyDescent="0.25">
      <c r="B25" s="107"/>
      <c r="C25" s="29">
        <v>30900</v>
      </c>
      <c r="D25" s="30">
        <v>0.12</v>
      </c>
      <c r="E25" s="22">
        <f>(C25-C24)*D24+E24</f>
        <v>1700</v>
      </c>
      <c r="F25" s="29">
        <v>29850</v>
      </c>
      <c r="G25" s="30">
        <v>0.12</v>
      </c>
      <c r="H25" s="22">
        <f>(F25-F24)*G24+H24</f>
        <v>1655</v>
      </c>
      <c r="I25" s="29">
        <v>25450</v>
      </c>
      <c r="J25" s="30">
        <v>0.12</v>
      </c>
      <c r="K25" s="22">
        <f>(I25-I24)*J24+K24</f>
        <v>1465</v>
      </c>
    </row>
    <row r="26" spans="2:35" x14ac:dyDescent="0.25">
      <c r="B26" s="107"/>
      <c r="C26" s="29">
        <v>78750</v>
      </c>
      <c r="D26" s="30">
        <v>0.22</v>
      </c>
      <c r="E26" s="22">
        <f t="shared" ref="E26:E30" si="22">(C26-C25)*D25+E25</f>
        <v>7442</v>
      </c>
      <c r="F26" s="29">
        <v>76400</v>
      </c>
      <c r="G26" s="30">
        <v>0.22</v>
      </c>
      <c r="H26" s="22">
        <f t="shared" ref="H26:H30" si="23">(F26-F25)*G25+H25</f>
        <v>7241</v>
      </c>
      <c r="I26" s="29">
        <v>66700</v>
      </c>
      <c r="J26" s="30">
        <v>0.22</v>
      </c>
      <c r="K26" s="22">
        <f t="shared" ref="K26:K29" si="24">(I26-I25)*J25+K25</f>
        <v>6415</v>
      </c>
    </row>
    <row r="27" spans="2:35" x14ac:dyDescent="0.25">
      <c r="B27" s="107"/>
      <c r="C27" s="29">
        <v>117250</v>
      </c>
      <c r="D27" s="30">
        <v>0.24</v>
      </c>
      <c r="E27" s="22">
        <f t="shared" si="22"/>
        <v>15912</v>
      </c>
      <c r="F27" s="29">
        <v>113800</v>
      </c>
      <c r="G27" s="30">
        <v>0.24</v>
      </c>
      <c r="H27" s="22">
        <f t="shared" si="23"/>
        <v>15469</v>
      </c>
      <c r="I27" s="29">
        <v>99850</v>
      </c>
      <c r="J27" s="30">
        <v>0.24</v>
      </c>
      <c r="K27" s="22">
        <f t="shared" si="24"/>
        <v>13708</v>
      </c>
    </row>
    <row r="28" spans="2:35" x14ac:dyDescent="0.25">
      <c r="B28" s="107"/>
      <c r="C28" s="29">
        <v>211200</v>
      </c>
      <c r="D28" s="30">
        <v>0.32</v>
      </c>
      <c r="E28" s="22">
        <f t="shared" si="22"/>
        <v>38460</v>
      </c>
      <c r="F28" s="29">
        <v>205250</v>
      </c>
      <c r="G28" s="30">
        <v>0.32</v>
      </c>
      <c r="H28" s="22">
        <f t="shared" si="23"/>
        <v>37417</v>
      </c>
      <c r="I28" s="29">
        <v>180850</v>
      </c>
      <c r="J28" s="30">
        <v>0.32</v>
      </c>
      <c r="K28" s="22">
        <f t="shared" si="24"/>
        <v>33148</v>
      </c>
    </row>
    <row r="29" spans="2:35" x14ac:dyDescent="0.25">
      <c r="B29" s="107"/>
      <c r="C29" s="29">
        <v>264400</v>
      </c>
      <c r="D29" s="30">
        <v>0.35</v>
      </c>
      <c r="E29" s="22">
        <f t="shared" si="22"/>
        <v>55484</v>
      </c>
      <c r="F29" s="29">
        <v>257000</v>
      </c>
      <c r="G29" s="30">
        <v>0.35</v>
      </c>
      <c r="H29" s="22">
        <f t="shared" si="23"/>
        <v>53977</v>
      </c>
      <c r="I29" s="29">
        <v>226750</v>
      </c>
      <c r="J29" s="30">
        <v>0.35</v>
      </c>
      <c r="K29" s="22">
        <f t="shared" si="24"/>
        <v>47836</v>
      </c>
    </row>
    <row r="30" spans="2:35" ht="15.75" thickBot="1" x14ac:dyDescent="0.3">
      <c r="B30" s="108"/>
      <c r="C30" s="31">
        <v>640250</v>
      </c>
      <c r="D30" s="32">
        <v>0.37</v>
      </c>
      <c r="E30" s="25">
        <f t="shared" si="22"/>
        <v>187031.5</v>
      </c>
      <c r="F30" s="31">
        <v>622650</v>
      </c>
      <c r="G30" s="32">
        <v>0.37</v>
      </c>
      <c r="H30" s="25">
        <f t="shared" si="23"/>
        <v>181954.5</v>
      </c>
      <c r="I30" s="31">
        <v>550700</v>
      </c>
      <c r="J30" s="32">
        <v>0.37</v>
      </c>
      <c r="K30" s="25">
        <f>(I30-I29)*J29+K29</f>
        <v>161218.5</v>
      </c>
    </row>
    <row r="31" spans="2:35" x14ac:dyDescent="0.25">
      <c r="B31" s="109" t="s">
        <v>98</v>
      </c>
    </row>
    <row r="32" spans="2:35" ht="15.75" thickBot="1" x14ac:dyDescent="0.3">
      <c r="B32" s="110"/>
    </row>
    <row r="33" spans="2:35" ht="15.75" thickBot="1" x14ac:dyDescent="0.3">
      <c r="B33" s="37" t="s">
        <v>16</v>
      </c>
      <c r="C33" s="86">
        <v>12900</v>
      </c>
      <c r="F33" s="46"/>
    </row>
    <row r="34" spans="2:35" ht="15.75" thickBot="1" x14ac:dyDescent="0.3">
      <c r="B34" s="39" t="s">
        <v>99</v>
      </c>
      <c r="C34" s="86">
        <v>8600</v>
      </c>
      <c r="F34" s="46"/>
    </row>
    <row r="35" spans="2:35" ht="15.75" thickBot="1" x14ac:dyDescent="0.3"/>
    <row r="36" spans="2:35" ht="15.75" thickBot="1" x14ac:dyDescent="0.3">
      <c r="B36" s="97" t="s">
        <v>32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9"/>
    </row>
    <row r="37" spans="2:35" ht="15.75" thickBot="1" x14ac:dyDescent="0.3">
      <c r="B37" s="33" t="s">
        <v>31</v>
      </c>
      <c r="C37" s="41"/>
      <c r="D37" s="44">
        <v>2025</v>
      </c>
      <c r="E37" s="43"/>
      <c r="F37" s="41"/>
      <c r="G37" s="44">
        <v>2024</v>
      </c>
      <c r="H37" s="43"/>
      <c r="I37" s="41"/>
      <c r="J37" s="44">
        <v>2023</v>
      </c>
      <c r="K37" s="43"/>
      <c r="L37" s="41"/>
      <c r="M37" s="44">
        <v>2022</v>
      </c>
      <c r="N37" s="43"/>
      <c r="O37" s="41"/>
      <c r="P37" s="44">
        <v>2021</v>
      </c>
      <c r="Q37" s="43"/>
      <c r="R37" s="41"/>
      <c r="S37" s="44">
        <v>2020</v>
      </c>
      <c r="T37" s="43"/>
      <c r="U37" s="41"/>
      <c r="V37" s="44">
        <v>2019</v>
      </c>
      <c r="W37" s="43"/>
      <c r="X37" s="41"/>
      <c r="Y37" s="44">
        <v>2018</v>
      </c>
      <c r="Z37" s="43"/>
      <c r="AA37" s="41"/>
      <c r="AB37" s="44">
        <v>2017</v>
      </c>
      <c r="AC37" s="43"/>
      <c r="AD37" s="41"/>
      <c r="AE37" s="42">
        <v>2016</v>
      </c>
      <c r="AF37" s="43"/>
      <c r="AG37" s="41"/>
      <c r="AH37" s="44">
        <v>2015</v>
      </c>
      <c r="AI37" s="43"/>
    </row>
    <row r="38" spans="2:35" ht="15.75" thickBot="1" x14ac:dyDescent="0.3">
      <c r="B38" s="33" t="s">
        <v>14</v>
      </c>
      <c r="C38" s="103">
        <v>1000</v>
      </c>
      <c r="D38" s="104"/>
      <c r="E38" s="105"/>
      <c r="F38" s="103">
        <v>1000</v>
      </c>
      <c r="G38" s="104"/>
      <c r="H38" s="105"/>
      <c r="I38" s="103">
        <v>1000</v>
      </c>
      <c r="J38" s="104"/>
      <c r="K38" s="105"/>
      <c r="L38" s="103">
        <v>1000</v>
      </c>
      <c r="M38" s="104"/>
      <c r="N38" s="105"/>
      <c r="O38" s="103">
        <v>1000</v>
      </c>
      <c r="P38" s="104"/>
      <c r="Q38" s="105"/>
      <c r="R38" s="103">
        <v>1000</v>
      </c>
      <c r="S38" s="104"/>
      <c r="T38" s="105"/>
      <c r="U38" s="103">
        <v>1000</v>
      </c>
      <c r="V38" s="104"/>
      <c r="W38" s="105"/>
      <c r="X38" s="103">
        <v>1000</v>
      </c>
      <c r="Y38" s="104"/>
      <c r="Z38" s="105"/>
      <c r="AA38" s="103">
        <v>1000</v>
      </c>
      <c r="AB38" s="104"/>
      <c r="AC38" s="105"/>
      <c r="AD38" s="103">
        <v>1000</v>
      </c>
      <c r="AE38" s="104"/>
      <c r="AF38" s="105"/>
      <c r="AG38" s="103">
        <v>1000</v>
      </c>
      <c r="AH38" s="104"/>
      <c r="AI38" s="105"/>
    </row>
    <row r="39" spans="2:35" ht="15.75" thickBot="1" x14ac:dyDescent="0.3">
      <c r="B39" s="111" t="s">
        <v>33</v>
      </c>
      <c r="C39" s="34" t="s">
        <v>20</v>
      </c>
      <c r="D39" s="35" t="s">
        <v>21</v>
      </c>
      <c r="E39" s="36" t="s">
        <v>22</v>
      </c>
      <c r="F39" s="34" t="s">
        <v>20</v>
      </c>
      <c r="G39" s="35" t="s">
        <v>21</v>
      </c>
      <c r="H39" s="36" t="s">
        <v>22</v>
      </c>
      <c r="I39" s="34" t="s">
        <v>20</v>
      </c>
      <c r="J39" s="35" t="s">
        <v>21</v>
      </c>
      <c r="K39" s="36" t="s">
        <v>22</v>
      </c>
      <c r="L39" s="34" t="s">
        <v>20</v>
      </c>
      <c r="M39" s="35" t="s">
        <v>21</v>
      </c>
      <c r="N39" s="36" t="s">
        <v>22</v>
      </c>
      <c r="O39" s="34" t="s">
        <v>20</v>
      </c>
      <c r="P39" s="35" t="s">
        <v>21</v>
      </c>
      <c r="Q39" s="36" t="s">
        <v>22</v>
      </c>
      <c r="R39" s="34" t="s">
        <v>20</v>
      </c>
      <c r="S39" s="35" t="s">
        <v>21</v>
      </c>
      <c r="T39" s="36" t="s">
        <v>22</v>
      </c>
      <c r="U39" s="34" t="s">
        <v>20</v>
      </c>
      <c r="V39" s="35" t="s">
        <v>21</v>
      </c>
      <c r="W39" s="36" t="s">
        <v>22</v>
      </c>
      <c r="X39" s="34" t="s">
        <v>20</v>
      </c>
      <c r="Y39" s="35" t="s">
        <v>21</v>
      </c>
      <c r="Z39" s="36" t="s">
        <v>22</v>
      </c>
      <c r="AA39" s="34" t="s">
        <v>20</v>
      </c>
      <c r="AB39" s="35" t="s">
        <v>21</v>
      </c>
      <c r="AC39" s="36" t="s">
        <v>22</v>
      </c>
      <c r="AD39" s="34" t="s">
        <v>20</v>
      </c>
      <c r="AE39" s="35" t="s">
        <v>21</v>
      </c>
      <c r="AF39" s="36" t="s">
        <v>22</v>
      </c>
      <c r="AG39" s="34" t="s">
        <v>20</v>
      </c>
      <c r="AH39" s="35" t="s">
        <v>21</v>
      </c>
      <c r="AI39" s="36" t="s">
        <v>22</v>
      </c>
    </row>
    <row r="40" spans="2:35" x14ac:dyDescent="0.25">
      <c r="B40" s="112"/>
      <c r="C40" s="78">
        <v>0</v>
      </c>
      <c r="D40" s="76">
        <v>3.7499999999999999E-2</v>
      </c>
      <c r="E40" s="77">
        <v>0</v>
      </c>
      <c r="F40" s="78">
        <v>0</v>
      </c>
      <c r="G40" s="76">
        <v>3.7499999999999999E-2</v>
      </c>
      <c r="H40" s="77">
        <v>0</v>
      </c>
      <c r="I40" s="78">
        <v>0</v>
      </c>
      <c r="J40" s="76">
        <v>3.7499999999999999E-2</v>
      </c>
      <c r="K40" s="77">
        <v>0</v>
      </c>
      <c r="L40" s="78">
        <v>0</v>
      </c>
      <c r="M40" s="76">
        <v>3.7499999999999999E-2</v>
      </c>
      <c r="N40" s="77">
        <v>0</v>
      </c>
      <c r="O40" s="78">
        <v>0</v>
      </c>
      <c r="P40" s="76">
        <v>3.7499999999999999E-2</v>
      </c>
      <c r="Q40" s="77">
        <v>0</v>
      </c>
      <c r="R40" s="78">
        <v>0</v>
      </c>
      <c r="S40" s="76">
        <v>3.7499999999999999E-2</v>
      </c>
      <c r="T40" s="77">
        <v>0</v>
      </c>
      <c r="U40" s="78">
        <v>0</v>
      </c>
      <c r="V40" s="76">
        <v>3.7499999999999999E-2</v>
      </c>
      <c r="W40" s="77">
        <v>0</v>
      </c>
      <c r="X40" s="78">
        <v>0</v>
      </c>
      <c r="Y40" s="76">
        <v>3.7499999999999999E-2</v>
      </c>
      <c r="Z40" s="77">
        <v>0</v>
      </c>
      <c r="AA40" s="78">
        <v>0</v>
      </c>
      <c r="AB40" s="76">
        <v>3.7499999999999999E-2</v>
      </c>
      <c r="AC40" s="77">
        <v>0</v>
      </c>
      <c r="AD40" s="78">
        <v>0</v>
      </c>
      <c r="AE40" s="76">
        <v>3.7499999999999999E-2</v>
      </c>
      <c r="AF40" s="77">
        <v>0</v>
      </c>
      <c r="AG40" s="78">
        <v>0</v>
      </c>
      <c r="AH40" s="76">
        <v>3.7499999999999999E-2</v>
      </c>
      <c r="AI40" s="77">
        <v>0</v>
      </c>
    </row>
    <row r="41" spans="2:35" x14ac:dyDescent="0.25">
      <c r="B41" s="112"/>
      <c r="C41" s="29">
        <v>79900</v>
      </c>
      <c r="D41" s="30">
        <v>4.7500000000000001E-2</v>
      </c>
      <c r="E41" s="22">
        <f>(C41-C40)*D40+E40</f>
        <v>2996.25</v>
      </c>
      <c r="F41" s="29">
        <v>77450</v>
      </c>
      <c r="G41" s="30">
        <v>4.7500000000000001E-2</v>
      </c>
      <c r="H41" s="22">
        <f>(F41-F40)*G40+H40</f>
        <v>2904.375</v>
      </c>
      <c r="I41" s="29">
        <v>68200</v>
      </c>
      <c r="J41" s="30">
        <v>4.7500000000000001E-2</v>
      </c>
      <c r="K41" s="22">
        <f>(I41-I40)*J40+K40</f>
        <v>2557.5</v>
      </c>
      <c r="L41" s="29">
        <v>68200</v>
      </c>
      <c r="M41" s="30">
        <v>4.7500000000000001E-2</v>
      </c>
      <c r="N41" s="22">
        <f>(L41-L40)*M40+N40</f>
        <v>2557.5</v>
      </c>
      <c r="O41" s="29">
        <v>66200</v>
      </c>
      <c r="P41" s="30">
        <v>4.7500000000000001E-2</v>
      </c>
      <c r="Q41" s="22">
        <f>(O41-O40)*P40+Q40</f>
        <v>2482.5</v>
      </c>
      <c r="R41" s="29">
        <v>65250</v>
      </c>
      <c r="S41" s="30">
        <v>4.7500000000000001E-2</v>
      </c>
      <c r="T41" s="22">
        <f>(R41-R40)*S40+T40</f>
        <v>2446.875</v>
      </c>
      <c r="U41" s="29">
        <v>64050</v>
      </c>
      <c r="V41" s="30">
        <v>4.7500000000000001E-2</v>
      </c>
      <c r="W41" s="22">
        <f>(U41-U40)*V40+W40</f>
        <v>2401.875</v>
      </c>
      <c r="X41" s="29">
        <v>62550</v>
      </c>
      <c r="Y41" s="30">
        <v>4.7500000000000001E-2</v>
      </c>
      <c r="Z41" s="22">
        <f>(X41-X40)*Y40+Z40</f>
        <v>2345.625</v>
      </c>
      <c r="AA41" s="29">
        <v>61300</v>
      </c>
      <c r="AB41" s="30">
        <v>4.7500000000000001E-2</v>
      </c>
      <c r="AC41" s="22">
        <f>(AA41-AA40)*AB40+AC40</f>
        <v>2298.75</v>
      </c>
      <c r="AD41" s="29">
        <v>60850</v>
      </c>
      <c r="AE41" s="30">
        <v>4.7500000000000001E-2</v>
      </c>
      <c r="AF41" s="22">
        <f>(AD41-AD40)*AE40+AF40</f>
        <v>2281.875</v>
      </c>
      <c r="AG41" s="29">
        <v>60550</v>
      </c>
      <c r="AH41" s="30">
        <v>4.7500000000000001E-2</v>
      </c>
      <c r="AI41" s="22">
        <f>(AG41-AG40)*AH40+AI40</f>
        <v>2270.625</v>
      </c>
    </row>
    <row r="42" spans="2:35" ht="15.75" thickBot="1" x14ac:dyDescent="0.3">
      <c r="B42" s="113"/>
      <c r="C42" s="31">
        <v>181650</v>
      </c>
      <c r="D42" s="32">
        <v>5.9900000000000002E-2</v>
      </c>
      <c r="E42" s="25">
        <f>(C42-C41)*D41+E41</f>
        <v>7829.375</v>
      </c>
      <c r="F42" s="31">
        <v>176050</v>
      </c>
      <c r="G42" s="32">
        <v>5.9900000000000002E-2</v>
      </c>
      <c r="H42" s="25">
        <f>(F42-F41)*G41+H41</f>
        <v>7587.875</v>
      </c>
      <c r="I42" s="31">
        <v>155050</v>
      </c>
      <c r="J42" s="32">
        <v>5.9900000000000002E-2</v>
      </c>
      <c r="K42" s="25">
        <f>(I42-I41)*J41+K41</f>
        <v>6682.875</v>
      </c>
      <c r="L42" s="31">
        <v>155050</v>
      </c>
      <c r="M42" s="32">
        <v>5.9900000000000002E-2</v>
      </c>
      <c r="N42" s="25">
        <f>(L42-L41)*M41+N41</f>
        <v>6682.875</v>
      </c>
      <c r="O42" s="31">
        <v>150550</v>
      </c>
      <c r="P42" s="32">
        <v>5.9900000000000002E-2</v>
      </c>
      <c r="Q42" s="25">
        <f>(O42-O41)*P41+Q41</f>
        <v>6489.125</v>
      </c>
      <c r="R42" s="31">
        <v>148350</v>
      </c>
      <c r="S42" s="32">
        <v>5.9900000000000002E-2</v>
      </c>
      <c r="T42" s="25">
        <f>(R42-R41)*S41+T41</f>
        <v>6394.125</v>
      </c>
      <c r="U42" s="31">
        <v>145600</v>
      </c>
      <c r="V42" s="32">
        <v>5.9900000000000002E-2</v>
      </c>
      <c r="W42" s="25">
        <f>(U42-U41)*V41+W41</f>
        <v>6275.5</v>
      </c>
      <c r="X42" s="31">
        <v>142150</v>
      </c>
      <c r="Y42" s="32">
        <v>5.9900000000000002E-2</v>
      </c>
      <c r="Z42" s="25">
        <f>(X42-X41)*Y41+Z41</f>
        <v>6126.625</v>
      </c>
      <c r="AA42" s="31">
        <v>139400</v>
      </c>
      <c r="AB42" s="32">
        <v>5.9900000000000002E-2</v>
      </c>
      <c r="AC42" s="25">
        <f>(AA42-AA41)*AB41+AC41</f>
        <v>6008.5</v>
      </c>
      <c r="AD42" s="31">
        <v>138300</v>
      </c>
      <c r="AE42" s="32">
        <v>5.9900000000000002E-2</v>
      </c>
      <c r="AF42" s="25">
        <f>(AD42-AD41)*AE41+AF41</f>
        <v>5960.75</v>
      </c>
      <c r="AG42" s="31">
        <v>137650</v>
      </c>
      <c r="AH42" s="32">
        <v>5.9900000000000002E-2</v>
      </c>
      <c r="AI42" s="25">
        <f>(AG42-AG41)*AH41+AI41</f>
        <v>5932.875</v>
      </c>
    </row>
  </sheetData>
  <sheetProtection selectLockedCells="1"/>
  <mergeCells count="40">
    <mergeCell ref="X38:Z38"/>
    <mergeCell ref="AA38:AC38"/>
    <mergeCell ref="AD38:AF38"/>
    <mergeCell ref="AG38:AI38"/>
    <mergeCell ref="B39:B42"/>
    <mergeCell ref="U38:W38"/>
    <mergeCell ref="R38:T38"/>
    <mergeCell ref="O38:Q38"/>
    <mergeCell ref="L38:N38"/>
    <mergeCell ref="I38:K38"/>
    <mergeCell ref="F38:H38"/>
    <mergeCell ref="C38:E38"/>
    <mergeCell ref="B36:AC36"/>
    <mergeCell ref="X5:Z5"/>
    <mergeCell ref="X6:Z6"/>
    <mergeCell ref="B7:B14"/>
    <mergeCell ref="B15:B22"/>
    <mergeCell ref="I6:K6"/>
    <mergeCell ref="B23:B30"/>
    <mergeCell ref="B31:B32"/>
    <mergeCell ref="F5:H5"/>
    <mergeCell ref="F6:H6"/>
    <mergeCell ref="C5:E5"/>
    <mergeCell ref="C6:E6"/>
    <mergeCell ref="B4:AC4"/>
    <mergeCell ref="AA5:AC5"/>
    <mergeCell ref="AD5:AF5"/>
    <mergeCell ref="AG5:AI5"/>
    <mergeCell ref="AA6:AC6"/>
    <mergeCell ref="AD6:AF6"/>
    <mergeCell ref="AG6:AI6"/>
    <mergeCell ref="U5:W5"/>
    <mergeCell ref="U6:W6"/>
    <mergeCell ref="R5:T5"/>
    <mergeCell ref="R6:T6"/>
    <mergeCell ref="O5:Q5"/>
    <mergeCell ref="O6:Q6"/>
    <mergeCell ref="L5:N5"/>
    <mergeCell ref="L6:N6"/>
    <mergeCell ref="I5:K5"/>
  </mergeCells>
  <pageMargins left="0.7" right="0.7" top="0.75" bottom="0.75" header="0.3" footer="0.3"/>
  <pageSetup orientation="portrait" r:id="rId1"/>
  <customProperties>
    <customPr name="Sheet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>
    <tabColor theme="3" tint="0.59999389629810485"/>
  </sheetPr>
  <dimension ref="A2:R59"/>
  <sheetViews>
    <sheetView zoomScaleNormal="100" workbookViewId="0">
      <selection activeCell="C44" sqref="C44"/>
    </sheetView>
  </sheetViews>
  <sheetFormatPr defaultColWidth="11.42578125" defaultRowHeight="15" x14ac:dyDescent="0.25"/>
  <cols>
    <col min="1" max="1" width="3.7109375" style="62" customWidth="1"/>
    <col min="2" max="2" width="21.85546875" bestFit="1" customWidth="1"/>
    <col min="6" max="6" width="5.140625" bestFit="1" customWidth="1"/>
    <col min="9" max="9" width="16.28515625" bestFit="1" customWidth="1"/>
    <col min="10" max="10" width="1.85546875" customWidth="1"/>
    <col min="11" max="11" width="21.7109375" bestFit="1" customWidth="1"/>
    <col min="14" max="14" width="17.85546875" bestFit="1" customWidth="1"/>
    <col min="16" max="16" width="26.5703125" customWidth="1"/>
    <col min="17" max="17" width="11.42578125" customWidth="1"/>
  </cols>
  <sheetData>
    <row r="2" spans="1:16" ht="21" x14ac:dyDescent="0.35">
      <c r="B2" s="60" t="s">
        <v>46</v>
      </c>
      <c r="J2" s="60"/>
      <c r="K2" s="60" t="s">
        <v>47</v>
      </c>
    </row>
    <row r="3" spans="1:16" ht="15.75" thickBot="1" x14ac:dyDescent="0.3"/>
    <row r="4" spans="1:16" ht="15.75" thickBot="1" x14ac:dyDescent="0.3">
      <c r="B4" s="123" t="s">
        <v>50</v>
      </c>
      <c r="C4" s="124"/>
      <c r="D4" s="75">
        <v>2025</v>
      </c>
    </row>
    <row r="6" spans="1:16" ht="15.75" x14ac:dyDescent="0.25">
      <c r="B6" s="61" t="s">
        <v>17</v>
      </c>
      <c r="J6" s="61"/>
      <c r="K6" s="61" t="s">
        <v>52</v>
      </c>
      <c r="O6" s="61" t="s">
        <v>101</v>
      </c>
    </row>
    <row r="7" spans="1:16" ht="15.75" thickBot="1" x14ac:dyDescent="0.3">
      <c r="L7" s="12"/>
    </row>
    <row r="8" spans="1:16" ht="15.75" thickBot="1" x14ac:dyDescent="0.3">
      <c r="A8" s="62">
        <v>1</v>
      </c>
      <c r="B8" s="47" t="s">
        <v>14</v>
      </c>
      <c r="C8" s="63">
        <f>INDEX(tbl_FedTaxData,A8,MATCH($D$4,tbl_Years,0))</f>
        <v>4300</v>
      </c>
      <c r="K8" s="47" t="s">
        <v>49</v>
      </c>
      <c r="L8" s="63">
        <f>ROUND(MAX(0,val_MonthlyGross*12+val_FedTotalIncAddPens+val_FedOtherIncome-val_FedDeductions-IF(val_MaritalStatus="Married",Val_FillingDeductionMarried,Val_FillingDeductionOther)),2)</f>
        <v>0</v>
      </c>
      <c r="O8" s="89">
        <f>ROUND(MAX(0,OLD_val_MonthlyGross*12-C8*OLD_val_FedNumExempt),2)</f>
        <v>0</v>
      </c>
    </row>
    <row r="9" spans="1:16" ht="15.75" thickBot="1" x14ac:dyDescent="0.3">
      <c r="K9" s="72"/>
    </row>
    <row r="10" spans="1:16" ht="15.75" thickBot="1" x14ac:dyDescent="0.3">
      <c r="B10" s="106" t="s">
        <v>15</v>
      </c>
      <c r="C10" s="34" t="s">
        <v>20</v>
      </c>
      <c r="D10" s="48" t="s">
        <v>40</v>
      </c>
      <c r="E10" s="48" t="s">
        <v>41</v>
      </c>
      <c r="F10" s="48"/>
      <c r="G10" s="64" t="s">
        <v>43</v>
      </c>
      <c r="H10" s="68" t="s">
        <v>48</v>
      </c>
      <c r="I10" s="68" t="s">
        <v>102</v>
      </c>
      <c r="K10" s="47" t="s">
        <v>12</v>
      </c>
      <c r="L10" s="63">
        <f>ROUND((($L$8-INDEX(C11:C18,M10))*INDEX(G11:G18,M10)+INDEX(E11:E18,M10)-val_FedDependentCredits)/12,2)</f>
        <v>0</v>
      </c>
      <c r="M10" s="62">
        <f>MATCH("X",H11:H18,0)</f>
        <v>1</v>
      </c>
      <c r="N10" s="81" t="s">
        <v>109</v>
      </c>
      <c r="O10" s="89">
        <f>ROUND((($O$8-INDEX(C11:C18,P10))*INDEX(G11:G18,P10)+INDEX(E11:E18,P10))/12,2)</f>
        <v>0</v>
      </c>
      <c r="P10" s="62">
        <f>MATCH("X",I11:I18,0)</f>
        <v>1</v>
      </c>
    </row>
    <row r="11" spans="1:16" ht="15" customHeight="1" thickBot="1" x14ac:dyDescent="0.3">
      <c r="A11" s="62">
        <v>2</v>
      </c>
      <c r="B11" s="107"/>
      <c r="C11" s="17">
        <v>0</v>
      </c>
      <c r="D11" s="18">
        <f>INDEX(tbl_FedTaxData,A11+1,MATCH($D$4,tbl_Years,0))</f>
        <v>6400</v>
      </c>
      <c r="E11" s="51">
        <v>0</v>
      </c>
      <c r="F11" s="52" t="s">
        <v>42</v>
      </c>
      <c r="G11" s="65">
        <v>0</v>
      </c>
      <c r="H11" s="69" t="str">
        <f>IF(AND(C11&lt;=$L$8,$L$8&lt;=D11),"X","")</f>
        <v>X</v>
      </c>
      <c r="I11" s="69" t="str">
        <f>IF(AND(C11&lt;=$O$8,$O$8&lt;=D11),"X","")</f>
        <v>X</v>
      </c>
      <c r="K11" s="74" t="s">
        <v>13</v>
      </c>
      <c r="L11" s="73">
        <f>ROUND((($L$8-INDEX(C21:C28,M11))*INDEX(G21:G28,M11)+INDEX(E21:E28,M11)-val_FedDependentCredits)/12,2)</f>
        <v>0</v>
      </c>
      <c r="M11" s="62">
        <f>MATCH("X",H21:H28,0)</f>
        <v>1</v>
      </c>
      <c r="N11" s="81" t="s">
        <v>110</v>
      </c>
      <c r="O11" s="89">
        <f>ROUND((($O$8-INDEX(C21:C28,P11))*INDEX(G21:G28,P11)+INDEX(E21:E28,P11))/12,2)</f>
        <v>0</v>
      </c>
      <c r="P11" s="62">
        <f>MATCH("X",I21:I28,0)</f>
        <v>1</v>
      </c>
    </row>
    <row r="12" spans="1:16" ht="15.75" thickBot="1" x14ac:dyDescent="0.3">
      <c r="A12" s="62">
        <v>3</v>
      </c>
      <c r="B12" s="107"/>
      <c r="C12" s="20">
        <f t="shared" ref="C12:C18" si="0">INDEX(tbl_FedTaxData,A12,MATCH($D$4,tbl_Years,0))</f>
        <v>6400</v>
      </c>
      <c r="D12" s="21">
        <f t="shared" ref="D12:D17" si="1">INDEX(tbl_FedTaxData,A12+1,MATCH($D$4,tbl_Years,0))</f>
        <v>18325</v>
      </c>
      <c r="E12" s="54">
        <f t="shared" ref="E12:E18" si="2">INDEX(tbl_FedTaxData,A12,MATCH($D$4,tbl_Years,0)+2)</f>
        <v>0</v>
      </c>
      <c r="F12" s="55" t="s">
        <v>42</v>
      </c>
      <c r="G12" s="66">
        <f t="shared" ref="G12:G18" si="3">INDEX(tbl_FedTaxData,A12,MATCH($D$4,tbl_Years,0)+1)</f>
        <v>0.1</v>
      </c>
      <c r="H12" s="70" t="str">
        <f>IF($L$8=0,"",IF(AND(C12&lt;$L$8,$L$8&lt;=D12),"X",""))</f>
        <v/>
      </c>
      <c r="I12" s="70" t="str">
        <f>IF($O$8=0,"",IF(AND(C12&lt;$O$8,$O$8&lt;=D12),"X",""))</f>
        <v/>
      </c>
      <c r="K12" s="74" t="s">
        <v>100</v>
      </c>
      <c r="L12" s="73">
        <f>ROUND((($L$8-INDEX(C31:C38,M12))*INDEX(G31:G38,M12)+INDEX(E31:E38,M12)-val_FedDependentCredits)/12,2)</f>
        <v>0</v>
      </c>
      <c r="M12" s="62">
        <f>MATCH("X",H31:H38,0)</f>
        <v>1</v>
      </c>
      <c r="N12" s="81" t="s">
        <v>90</v>
      </c>
    </row>
    <row r="13" spans="1:16" x14ac:dyDescent="0.25">
      <c r="A13" s="62">
        <v>4</v>
      </c>
      <c r="B13" s="107"/>
      <c r="C13" s="20">
        <f t="shared" si="0"/>
        <v>18325</v>
      </c>
      <c r="D13" s="21">
        <f t="shared" si="1"/>
        <v>54875</v>
      </c>
      <c r="E13" s="54">
        <f t="shared" si="2"/>
        <v>1192.5</v>
      </c>
      <c r="F13" s="55" t="s">
        <v>42</v>
      </c>
      <c r="G13" s="66">
        <f t="shared" si="3"/>
        <v>0.12</v>
      </c>
      <c r="H13" s="70" t="str">
        <f>IF($L$8=0,"",IF(AND(C13&lt;$L$8,$L$8&lt;=D13),"X",""))</f>
        <v/>
      </c>
      <c r="I13" s="70" t="str">
        <f t="shared" ref="I13:I17" si="4">IF($O$8=0,"",IF(AND(C13&lt;$O$8,$O$8&lt;=D13),"X",""))</f>
        <v/>
      </c>
      <c r="K13" s="81"/>
      <c r="L13" s="81"/>
      <c r="M13" s="62"/>
      <c r="N13" s="81"/>
    </row>
    <row r="14" spans="1:16" ht="15.75" x14ac:dyDescent="0.25">
      <c r="A14" s="62">
        <v>5</v>
      </c>
      <c r="B14" s="107"/>
      <c r="C14" s="20">
        <f t="shared" si="0"/>
        <v>54875</v>
      </c>
      <c r="D14" s="21">
        <f>INDEX(tbl_FedTaxData,A14+1,MATCH($D$4,tbl_Years,0))</f>
        <v>109750</v>
      </c>
      <c r="E14" s="54">
        <f t="shared" si="2"/>
        <v>5578.5</v>
      </c>
      <c r="F14" s="55" t="s">
        <v>42</v>
      </c>
      <c r="G14" s="66">
        <f t="shared" si="3"/>
        <v>0.22</v>
      </c>
      <c r="H14" s="70" t="str">
        <f t="shared" ref="H14:H17" si="5">IF($L$8=0,"",IF(AND(C14&lt;$L$8,$L$8&lt;=D14),"X",""))</f>
        <v/>
      </c>
      <c r="I14" s="70" t="str">
        <f t="shared" si="4"/>
        <v/>
      </c>
      <c r="K14" s="61" t="s">
        <v>54</v>
      </c>
    </row>
    <row r="15" spans="1:16" ht="15.75" thickBot="1" x14ac:dyDescent="0.3">
      <c r="A15" s="62">
        <v>6</v>
      </c>
      <c r="B15" s="107"/>
      <c r="C15" s="20">
        <f t="shared" si="0"/>
        <v>109750</v>
      </c>
      <c r="D15" s="21">
        <f t="shared" si="1"/>
        <v>203700</v>
      </c>
      <c r="E15" s="54">
        <f t="shared" si="2"/>
        <v>17651</v>
      </c>
      <c r="F15" s="55" t="s">
        <v>42</v>
      </c>
      <c r="G15" s="66">
        <f t="shared" si="3"/>
        <v>0.24</v>
      </c>
      <c r="H15" s="70" t="str">
        <f t="shared" si="5"/>
        <v/>
      </c>
      <c r="I15" s="70" t="str">
        <f t="shared" si="4"/>
        <v/>
      </c>
      <c r="K15" s="2"/>
    </row>
    <row r="16" spans="1:16" ht="15.75" thickBot="1" x14ac:dyDescent="0.3">
      <c r="A16" s="62">
        <v>7</v>
      </c>
      <c r="B16" s="107"/>
      <c r="C16" s="20">
        <f t="shared" si="0"/>
        <v>203700</v>
      </c>
      <c r="D16" s="21">
        <f t="shared" si="1"/>
        <v>256925</v>
      </c>
      <c r="E16" s="54">
        <f t="shared" si="2"/>
        <v>40199</v>
      </c>
      <c r="F16" s="55" t="s">
        <v>42</v>
      </c>
      <c r="G16" s="66">
        <f t="shared" si="3"/>
        <v>0.32</v>
      </c>
      <c r="H16" s="70" t="str">
        <f t="shared" si="5"/>
        <v/>
      </c>
      <c r="I16" s="70" t="str">
        <f t="shared" si="4"/>
        <v/>
      </c>
      <c r="K16" s="47" t="s">
        <v>55</v>
      </c>
      <c r="L16" s="63">
        <f>val_FedDesired</f>
        <v>0</v>
      </c>
    </row>
    <row r="17" spans="1:18" ht="15.75" thickBot="1" x14ac:dyDescent="0.3">
      <c r="A17" s="62">
        <v>8</v>
      </c>
      <c r="B17" s="107"/>
      <c r="C17" s="20">
        <f t="shared" si="0"/>
        <v>256925</v>
      </c>
      <c r="D17" s="21">
        <f t="shared" si="1"/>
        <v>632750</v>
      </c>
      <c r="E17" s="54">
        <f t="shared" si="2"/>
        <v>57231</v>
      </c>
      <c r="F17" s="55" t="s">
        <v>42</v>
      </c>
      <c r="G17" s="66">
        <f t="shared" si="3"/>
        <v>0.35</v>
      </c>
      <c r="H17" s="70" t="str">
        <f t="shared" si="5"/>
        <v/>
      </c>
      <c r="I17" s="70" t="str">
        <f t="shared" si="4"/>
        <v/>
      </c>
      <c r="K17" s="74" t="s">
        <v>56</v>
      </c>
      <c r="L17" s="73">
        <f>val_FedWH</f>
        <v>0</v>
      </c>
    </row>
    <row r="18" spans="1:18" ht="15.75" thickBot="1" x14ac:dyDescent="0.3">
      <c r="A18" s="62">
        <v>9</v>
      </c>
      <c r="B18" s="108"/>
      <c r="C18" s="23">
        <f t="shared" si="0"/>
        <v>632750</v>
      </c>
      <c r="D18" s="24"/>
      <c r="E18" s="57">
        <f t="shared" si="2"/>
        <v>188769.75</v>
      </c>
      <c r="F18" s="58" t="s">
        <v>42</v>
      </c>
      <c r="G18" s="67">
        <f t="shared" si="3"/>
        <v>0.37</v>
      </c>
      <c r="H18" s="71" t="str">
        <f>IF($L$8=0,"",IF(C18&lt;$L$8,"X",""))</f>
        <v/>
      </c>
      <c r="I18" s="71" t="str">
        <f>IF($O$8=0,"",IF(C18&lt;$O$8,"X",""))</f>
        <v/>
      </c>
    </row>
    <row r="19" spans="1:18" ht="15.75" thickBot="1" x14ac:dyDescent="0.3">
      <c r="C19" s="45"/>
      <c r="D19" s="45"/>
      <c r="E19" s="46"/>
      <c r="G19" s="13"/>
      <c r="K19" s="128" t="s">
        <v>60</v>
      </c>
      <c r="L19" s="129"/>
      <c r="M19" s="129"/>
      <c r="N19" s="129"/>
      <c r="O19" s="129"/>
      <c r="P19" s="129"/>
      <c r="Q19" s="130"/>
      <c r="R19" s="68" t="s">
        <v>61</v>
      </c>
    </row>
    <row r="20" spans="1:18" ht="15" customHeight="1" thickBot="1" x14ac:dyDescent="0.3">
      <c r="B20" s="106" t="s">
        <v>16</v>
      </c>
      <c r="C20" s="34" t="s">
        <v>20</v>
      </c>
      <c r="D20" s="48" t="s">
        <v>40</v>
      </c>
      <c r="E20" s="48" t="s">
        <v>41</v>
      </c>
      <c r="F20" s="48"/>
      <c r="G20" s="64" t="s">
        <v>43</v>
      </c>
      <c r="H20" s="68" t="s">
        <v>48</v>
      </c>
      <c r="I20" s="68" t="s">
        <v>102</v>
      </c>
      <c r="K20" s="114" t="str">
        <f>"Increase Additional Withholding for Federal Elections to "&amp;TEXT(val_FedDesired-val_FedWH+val_FedAddWH,"$0.00")</f>
        <v>Increase Additional Withholding for Federal Elections to $0.00</v>
      </c>
      <c r="L20" s="115"/>
      <c r="M20" s="115"/>
      <c r="N20" s="115"/>
      <c r="O20" s="115"/>
      <c r="P20" s="115"/>
      <c r="Q20" s="116"/>
      <c r="R20" s="69" t="str">
        <f>IF(L16&gt;L17,"X","")</f>
        <v/>
      </c>
    </row>
    <row r="21" spans="1:18" ht="15" customHeight="1" x14ac:dyDescent="0.25">
      <c r="A21" s="62">
        <v>10</v>
      </c>
      <c r="B21" s="107"/>
      <c r="C21" s="17">
        <v>0</v>
      </c>
      <c r="D21" s="18">
        <f t="shared" ref="D21:D27" si="6">INDEX(tbl_FedTaxData,A21+1,MATCH($D$4,tbl_Years,0))</f>
        <v>17100</v>
      </c>
      <c r="E21" s="51">
        <v>0</v>
      </c>
      <c r="F21" s="52" t="s">
        <v>42</v>
      </c>
      <c r="G21" s="65">
        <v>0</v>
      </c>
      <c r="H21" s="69" t="str">
        <f>IF(AND(C21&lt;=$L$8,$L$8&lt;=D21),"X","")</f>
        <v>X</v>
      </c>
      <c r="I21" s="69" t="str">
        <f>IF(AND(C21&lt;=$O$8,$O$8&lt;=D21),"X","")</f>
        <v>X</v>
      </c>
      <c r="K21" s="117" t="s">
        <v>57</v>
      </c>
      <c r="L21" s="118"/>
      <c r="M21" s="118"/>
      <c r="N21" s="118"/>
      <c r="O21" s="118"/>
      <c r="P21" s="118"/>
      <c r="Q21" s="119"/>
      <c r="R21" s="70" t="str">
        <f>IF(L16=L17,"X","")</f>
        <v>X</v>
      </c>
    </row>
    <row r="22" spans="1:18" x14ac:dyDescent="0.25">
      <c r="A22" s="62">
        <v>11</v>
      </c>
      <c r="B22" s="107"/>
      <c r="C22" s="20">
        <f t="shared" ref="C22:C28" si="7">INDEX(tbl_FedTaxData,A22,MATCH($D$4,tbl_Years,0))</f>
        <v>17100</v>
      </c>
      <c r="D22" s="21">
        <f t="shared" si="6"/>
        <v>40950</v>
      </c>
      <c r="E22" s="54">
        <f t="shared" ref="E22:E28" si="8">INDEX(tbl_FedTaxData,A22,MATCH($D$4,tbl_Years,0)+2)</f>
        <v>0</v>
      </c>
      <c r="F22" s="55" t="s">
        <v>42</v>
      </c>
      <c r="G22" s="66">
        <f t="shared" ref="G22:G28" si="9">INDEX(tbl_FedTaxData,A22,MATCH($D$4,tbl_Years,0)+1)</f>
        <v>0.1</v>
      </c>
      <c r="H22" s="70" t="str">
        <f t="shared" ref="H22:H27" si="10">IF($L$8=0,"",IF(AND(C22&lt;$L$8,$L$8&lt;=D22),"X",""))</f>
        <v/>
      </c>
      <c r="I22" s="70" t="str">
        <f>IF($O$8=0,"",IF(AND(C22&lt;$O$8,$O$8&lt;=D22),"X",""))</f>
        <v/>
      </c>
      <c r="K22" s="117" t="s">
        <v>58</v>
      </c>
      <c r="L22" s="118"/>
      <c r="M22" s="118"/>
      <c r="N22" s="118"/>
      <c r="O22" s="118"/>
      <c r="P22" s="118"/>
      <c r="Q22" s="119"/>
      <c r="R22" s="70" t="str">
        <f>IF(L16&lt;L17,IF(val_FedAddWH&gt;0,"X",""),"")</f>
        <v/>
      </c>
    </row>
    <row r="23" spans="1:18" ht="15.75" thickBot="1" x14ac:dyDescent="0.3">
      <c r="A23" s="62">
        <v>12</v>
      </c>
      <c r="B23" s="107"/>
      <c r="C23" s="20">
        <f t="shared" si="7"/>
        <v>40950</v>
      </c>
      <c r="D23" s="21">
        <f t="shared" si="6"/>
        <v>114050</v>
      </c>
      <c r="E23" s="54">
        <f t="shared" si="8"/>
        <v>2385</v>
      </c>
      <c r="F23" s="55" t="s">
        <v>42</v>
      </c>
      <c r="G23" s="66">
        <f t="shared" si="9"/>
        <v>0.12</v>
      </c>
      <c r="H23" s="70" t="str">
        <f t="shared" si="10"/>
        <v/>
      </c>
      <c r="I23" s="70" t="str">
        <f t="shared" ref="I23:I27" si="11">IF($O$8=0,"",IF(AND(C23&lt;$O$8,$O$8&lt;=D23),"X",""))</f>
        <v/>
      </c>
      <c r="K23" s="120" t="s">
        <v>59</v>
      </c>
      <c r="L23" s="121"/>
      <c r="M23" s="121"/>
      <c r="N23" s="121"/>
      <c r="O23" s="121"/>
      <c r="P23" s="121"/>
      <c r="Q23" s="122"/>
      <c r="R23" s="71" t="str">
        <f>IF(L16&lt;L17,IF(val_FedAddWH&lt;=0,"X",""),"")</f>
        <v/>
      </c>
    </row>
    <row r="24" spans="1:18" x14ac:dyDescent="0.25">
      <c r="A24" s="62">
        <v>13</v>
      </c>
      <c r="B24" s="107"/>
      <c r="C24" s="20">
        <f t="shared" si="7"/>
        <v>114050</v>
      </c>
      <c r="D24" s="21">
        <f t="shared" si="6"/>
        <v>223800</v>
      </c>
      <c r="E24" s="54">
        <f t="shared" si="8"/>
        <v>11157</v>
      </c>
      <c r="F24" s="55" t="s">
        <v>42</v>
      </c>
      <c r="G24" s="66">
        <f t="shared" si="9"/>
        <v>0.22</v>
      </c>
      <c r="H24" s="70" t="str">
        <f t="shared" si="10"/>
        <v/>
      </c>
      <c r="I24" s="70" t="str">
        <f t="shared" si="11"/>
        <v/>
      </c>
    </row>
    <row r="25" spans="1:18" x14ac:dyDescent="0.25">
      <c r="A25" s="62">
        <v>14</v>
      </c>
      <c r="B25" s="107"/>
      <c r="C25" s="20">
        <f t="shared" si="7"/>
        <v>223800</v>
      </c>
      <c r="D25" s="21">
        <f t="shared" si="6"/>
        <v>411700</v>
      </c>
      <c r="E25" s="54">
        <f t="shared" si="8"/>
        <v>35302</v>
      </c>
      <c r="F25" s="55" t="s">
        <v>42</v>
      </c>
      <c r="G25" s="66">
        <f t="shared" si="9"/>
        <v>0.24</v>
      </c>
      <c r="H25" s="70" t="str">
        <f t="shared" si="10"/>
        <v/>
      </c>
      <c r="I25" s="70" t="str">
        <f t="shared" si="11"/>
        <v/>
      </c>
    </row>
    <row r="26" spans="1:18" ht="15.75" x14ac:dyDescent="0.25">
      <c r="A26" s="62">
        <v>15</v>
      </c>
      <c r="B26" s="107"/>
      <c r="C26" s="20">
        <f t="shared" si="7"/>
        <v>411700</v>
      </c>
      <c r="D26" s="21">
        <f t="shared" si="6"/>
        <v>518150</v>
      </c>
      <c r="E26" s="54">
        <f t="shared" si="8"/>
        <v>80398</v>
      </c>
      <c r="F26" s="55" t="s">
        <v>42</v>
      </c>
      <c r="G26" s="66">
        <f t="shared" si="9"/>
        <v>0.32</v>
      </c>
      <c r="H26" s="70" t="str">
        <f t="shared" si="10"/>
        <v/>
      </c>
      <c r="I26" s="70" t="str">
        <f t="shared" si="11"/>
        <v/>
      </c>
      <c r="K26" s="61"/>
    </row>
    <row r="27" spans="1:18" ht="15.75" x14ac:dyDescent="0.25">
      <c r="A27" s="62">
        <v>16</v>
      </c>
      <c r="B27" s="107"/>
      <c r="C27" s="20">
        <f t="shared" si="7"/>
        <v>518150</v>
      </c>
      <c r="D27" s="21">
        <f t="shared" si="6"/>
        <v>768700</v>
      </c>
      <c r="E27" s="54">
        <f t="shared" si="8"/>
        <v>114462</v>
      </c>
      <c r="F27" s="55" t="s">
        <v>42</v>
      </c>
      <c r="G27" s="66">
        <f t="shared" si="9"/>
        <v>0.35</v>
      </c>
      <c r="H27" s="70" t="str">
        <f t="shared" si="10"/>
        <v/>
      </c>
      <c r="I27" s="70" t="str">
        <f t="shared" si="11"/>
        <v/>
      </c>
      <c r="K27" s="61"/>
    </row>
    <row r="28" spans="1:18" ht="16.5" thickBot="1" x14ac:dyDescent="0.3">
      <c r="A28" s="62">
        <v>17</v>
      </c>
      <c r="B28" s="108"/>
      <c r="C28" s="23">
        <f t="shared" si="7"/>
        <v>768700</v>
      </c>
      <c r="D28" s="24"/>
      <c r="E28" s="57">
        <f t="shared" si="8"/>
        <v>202154.5</v>
      </c>
      <c r="F28" s="58" t="s">
        <v>42</v>
      </c>
      <c r="G28" s="67">
        <f t="shared" si="9"/>
        <v>0.37</v>
      </c>
      <c r="H28" s="71" t="str">
        <f>IF($L$8=0,"",IF(C28&lt;$L$8,"X",""))</f>
        <v/>
      </c>
      <c r="I28" s="71" t="str">
        <f>IF($O$8=0,"",IF(C28&lt;$O$8,"X",""))</f>
        <v/>
      </c>
      <c r="K28" s="61"/>
    </row>
    <row r="29" spans="1:18" ht="16.5" thickBot="1" x14ac:dyDescent="0.3">
      <c r="K29" s="61"/>
    </row>
    <row r="30" spans="1:18" ht="16.5" thickBot="1" x14ac:dyDescent="0.3">
      <c r="B30" s="106" t="s">
        <v>93</v>
      </c>
      <c r="C30" s="34" t="s">
        <v>20</v>
      </c>
      <c r="D30" s="48" t="s">
        <v>40</v>
      </c>
      <c r="E30" s="48" t="s">
        <v>41</v>
      </c>
      <c r="F30" s="48"/>
      <c r="G30" s="64" t="s">
        <v>43</v>
      </c>
      <c r="H30" s="68" t="s">
        <v>48</v>
      </c>
      <c r="J30" s="61"/>
    </row>
    <row r="31" spans="1:18" ht="15.75" x14ac:dyDescent="0.25">
      <c r="A31" s="62">
        <v>18</v>
      </c>
      <c r="B31" s="107"/>
      <c r="C31" s="17">
        <v>0</v>
      </c>
      <c r="D31" s="18">
        <f t="shared" ref="D31:D37" si="12">INDEX(tbl_FedTaxData,A31+1,MATCH($D$4,tbl_Years,0))</f>
        <v>13900</v>
      </c>
      <c r="E31" s="51">
        <v>0</v>
      </c>
      <c r="F31" s="52" t="s">
        <v>42</v>
      </c>
      <c r="G31" s="65">
        <v>0</v>
      </c>
      <c r="H31" s="69" t="str">
        <f>IF(AND(C31&lt;=$L$8,$L$8&lt;=D31),"X","")</f>
        <v>X</v>
      </c>
      <c r="J31" s="61"/>
    </row>
    <row r="32" spans="1:18" ht="15.75" x14ac:dyDescent="0.25">
      <c r="A32" s="62">
        <v>19</v>
      </c>
      <c r="B32" s="107"/>
      <c r="C32" s="20">
        <f t="shared" ref="C32:C37" si="13">INDEX(tbl_FedTaxData,A32,MATCH($D$4,tbl_Years,0))</f>
        <v>13900</v>
      </c>
      <c r="D32" s="21">
        <f t="shared" si="12"/>
        <v>30900</v>
      </c>
      <c r="E32" s="54">
        <f t="shared" ref="E32:E38" si="14">INDEX(tbl_FedTaxData,A32,MATCH($D$4,tbl_Years,0)+2)</f>
        <v>0</v>
      </c>
      <c r="F32" s="55" t="s">
        <v>42</v>
      </c>
      <c r="G32" s="66">
        <f t="shared" ref="G32:G38" si="15">INDEX(tbl_FedTaxData,A32,MATCH($D$4,tbl_Years,0)+1)</f>
        <v>0.1</v>
      </c>
      <c r="H32" s="70" t="str">
        <f t="shared" ref="H32:H37" si="16">IF($L$8=0,"",IF(AND(C32&lt;$L$8,$L$8&lt;=D32),"X",""))</f>
        <v/>
      </c>
      <c r="J32" s="61"/>
    </row>
    <row r="33" spans="1:15" x14ac:dyDescent="0.25">
      <c r="A33" s="62">
        <v>20</v>
      </c>
      <c r="B33" s="107"/>
      <c r="C33" s="20">
        <f t="shared" si="13"/>
        <v>30900</v>
      </c>
      <c r="D33" s="21">
        <f t="shared" si="12"/>
        <v>78750</v>
      </c>
      <c r="E33" s="54">
        <f t="shared" si="14"/>
        <v>1700</v>
      </c>
      <c r="F33" s="55" t="s">
        <v>42</v>
      </c>
      <c r="G33" s="66">
        <f t="shared" si="15"/>
        <v>0.12</v>
      </c>
      <c r="H33" s="70" t="str">
        <f t="shared" si="16"/>
        <v/>
      </c>
    </row>
    <row r="34" spans="1:15" x14ac:dyDescent="0.25">
      <c r="A34" s="62">
        <v>21</v>
      </c>
      <c r="B34" s="107"/>
      <c r="C34" s="20">
        <f t="shared" si="13"/>
        <v>78750</v>
      </c>
      <c r="D34" s="21">
        <f t="shared" si="12"/>
        <v>117250</v>
      </c>
      <c r="E34" s="54">
        <f t="shared" si="14"/>
        <v>7442</v>
      </c>
      <c r="F34" s="55" t="s">
        <v>42</v>
      </c>
      <c r="G34" s="66">
        <f t="shared" si="15"/>
        <v>0.22</v>
      </c>
      <c r="H34" s="70" t="str">
        <f t="shared" si="16"/>
        <v/>
      </c>
    </row>
    <row r="35" spans="1:15" ht="15" customHeight="1" x14ac:dyDescent="0.25">
      <c r="A35" s="62">
        <v>22</v>
      </c>
      <c r="B35" s="107"/>
      <c r="C35" s="20">
        <f t="shared" si="13"/>
        <v>117250</v>
      </c>
      <c r="D35" s="21">
        <f t="shared" si="12"/>
        <v>211200</v>
      </c>
      <c r="E35" s="54">
        <f t="shared" si="14"/>
        <v>15912</v>
      </c>
      <c r="F35" s="55" t="s">
        <v>42</v>
      </c>
      <c r="G35" s="66">
        <f t="shared" si="15"/>
        <v>0.24</v>
      </c>
      <c r="H35" s="70" t="str">
        <f t="shared" si="16"/>
        <v/>
      </c>
    </row>
    <row r="36" spans="1:15" x14ac:dyDescent="0.25">
      <c r="A36" s="62">
        <v>23</v>
      </c>
      <c r="B36" s="107"/>
      <c r="C36" s="20">
        <f>INDEX(tbl_FedTaxData,A36,MATCH($D$4,tbl_Years,0))</f>
        <v>211200</v>
      </c>
      <c r="D36" s="21">
        <f t="shared" si="12"/>
        <v>264400</v>
      </c>
      <c r="E36" s="54">
        <f t="shared" si="14"/>
        <v>38460</v>
      </c>
      <c r="F36" s="55" t="s">
        <v>42</v>
      </c>
      <c r="G36" s="66">
        <f t="shared" si="15"/>
        <v>0.32</v>
      </c>
      <c r="H36" s="70" t="str">
        <f t="shared" si="16"/>
        <v/>
      </c>
    </row>
    <row r="37" spans="1:15" x14ac:dyDescent="0.25">
      <c r="A37" s="62">
        <v>24</v>
      </c>
      <c r="B37" s="107"/>
      <c r="C37" s="20">
        <f t="shared" si="13"/>
        <v>264400</v>
      </c>
      <c r="D37" s="21">
        <f t="shared" si="12"/>
        <v>640250</v>
      </c>
      <c r="E37" s="54">
        <f t="shared" si="14"/>
        <v>55484</v>
      </c>
      <c r="F37" s="55" t="s">
        <v>42</v>
      </c>
      <c r="G37" s="66">
        <f t="shared" si="15"/>
        <v>0.35</v>
      </c>
      <c r="H37" s="70" t="str">
        <f t="shared" si="16"/>
        <v/>
      </c>
    </row>
    <row r="38" spans="1:15" ht="15.75" thickBot="1" x14ac:dyDescent="0.3">
      <c r="A38" s="62">
        <v>25</v>
      </c>
      <c r="B38" s="108"/>
      <c r="C38" s="23">
        <f>INDEX(tbl_FedTaxData,A38,MATCH($D$4,tbl_Years,0))</f>
        <v>640250</v>
      </c>
      <c r="D38" s="24"/>
      <c r="E38" s="57">
        <f t="shared" si="14"/>
        <v>187031.5</v>
      </c>
      <c r="F38" s="58" t="s">
        <v>42</v>
      </c>
      <c r="G38" s="67">
        <f t="shared" si="15"/>
        <v>0.37</v>
      </c>
      <c r="H38" s="71" t="str">
        <f>IF($L$8=0,"",IF(C38&lt;$L$8,"X",""))</f>
        <v/>
      </c>
    </row>
    <row r="39" spans="1:15" ht="15.75" thickBot="1" x14ac:dyDescent="0.3"/>
    <row r="40" spans="1:15" ht="15.75" thickBot="1" x14ac:dyDescent="0.3">
      <c r="B40" s="109" t="s">
        <v>98</v>
      </c>
      <c r="C40" s="87" t="s">
        <v>16</v>
      </c>
      <c r="D40" s="87" t="s">
        <v>99</v>
      </c>
      <c r="E40" s="84"/>
      <c r="F40" s="81"/>
      <c r="G40" s="85"/>
      <c r="H40" s="81"/>
      <c r="I40" s="81"/>
    </row>
    <row r="41" spans="1:15" ht="15.75" thickBot="1" x14ac:dyDescent="0.3">
      <c r="A41" s="62">
        <v>28</v>
      </c>
      <c r="B41" s="110"/>
      <c r="C41" s="23">
        <f t="shared" ref="C41" si="17">INDEX(tbl_FedTaxData,A41,MATCH($D$4,tbl_Years,0))</f>
        <v>12900</v>
      </c>
      <c r="D41" s="23">
        <f>INDEX(tbl_FedTaxData,A41+1,MATCH($D$4,tbl_Years,0))</f>
        <v>8600</v>
      </c>
      <c r="E41" s="84"/>
      <c r="F41" s="81"/>
      <c r="G41" s="85"/>
      <c r="H41" s="81"/>
      <c r="I41" s="81"/>
    </row>
    <row r="42" spans="1:15" x14ac:dyDescent="0.25">
      <c r="C42" s="46"/>
      <c r="D42" s="46"/>
      <c r="E42" s="84"/>
      <c r="F42" s="81"/>
      <c r="G42" s="85"/>
      <c r="H42" s="81"/>
      <c r="I42" s="81"/>
    </row>
    <row r="43" spans="1:15" ht="15.75" x14ac:dyDescent="0.25">
      <c r="B43" s="61" t="s">
        <v>44</v>
      </c>
    </row>
    <row r="44" spans="1:15" ht="16.5" thickBot="1" x14ac:dyDescent="0.3">
      <c r="B44" s="16"/>
      <c r="K44" s="61" t="s">
        <v>53</v>
      </c>
      <c r="N44" s="61" t="s">
        <v>101</v>
      </c>
    </row>
    <row r="45" spans="1:15" ht="15.75" thickBot="1" x14ac:dyDescent="0.3">
      <c r="A45" s="62">
        <v>1</v>
      </c>
      <c r="B45" s="47" t="s">
        <v>14</v>
      </c>
      <c r="C45" s="63">
        <f>INDEX(tbl_StateTaxData,A45,MATCH($D$4,tbl_Years,0))</f>
        <v>1000</v>
      </c>
    </row>
    <row r="46" spans="1:15" ht="15.75" thickBot="1" x14ac:dyDescent="0.3">
      <c r="K46" s="47" t="s">
        <v>49</v>
      </c>
      <c r="L46" s="63">
        <f>ROUND(MAX(0,val_MonthlyGross*12-C45*val_StateNumExempt),2)</f>
        <v>0</v>
      </c>
      <c r="N46" s="89">
        <f>ROUND(MAX(0,OLD_val_MonthlyGross*12-C45*OLD_val_StateNumExempt),2)</f>
        <v>0</v>
      </c>
    </row>
    <row r="47" spans="1:15" ht="15.75" thickBot="1" x14ac:dyDescent="0.3">
      <c r="B47" s="125" t="s">
        <v>33</v>
      </c>
      <c r="C47" s="49" t="s">
        <v>20</v>
      </c>
      <c r="D47" s="50" t="s">
        <v>40</v>
      </c>
      <c r="E47" s="50" t="s">
        <v>41</v>
      </c>
      <c r="F47" s="48"/>
      <c r="G47" s="36" t="s">
        <v>43</v>
      </c>
      <c r="H47" s="68" t="s">
        <v>48</v>
      </c>
      <c r="I47" s="68" t="s">
        <v>102</v>
      </c>
    </row>
    <row r="48" spans="1:15" ht="15.75" thickBot="1" x14ac:dyDescent="0.3">
      <c r="A48" s="62">
        <v>3</v>
      </c>
      <c r="B48" s="126"/>
      <c r="C48" s="17">
        <v>0</v>
      </c>
      <c r="D48" s="18">
        <f>INDEX(tbl_StateTaxData,A48+1,MATCH($D$4,tbl_Years,0))</f>
        <v>79900</v>
      </c>
      <c r="E48" s="51">
        <f>INDEX(tbl_StateTaxData,A48,MATCH($D$4,tbl_Years,0)+2)</f>
        <v>0</v>
      </c>
      <c r="F48" s="52" t="s">
        <v>42</v>
      </c>
      <c r="G48" s="53">
        <f>INDEX(tbl_StateTaxData,A48,MATCH($D$4,tbl_Years,0)+1)</f>
        <v>3.7499999999999999E-2</v>
      </c>
      <c r="H48" s="69" t="str">
        <f>IF(AND(C48&lt;=$L$46,$L$46&lt;=D48),"X","")</f>
        <v>X</v>
      </c>
      <c r="I48" s="69" t="str">
        <f>IF(AND(C48&lt;=$N$46,$N$46&lt;=D48),"X","")</f>
        <v>X</v>
      </c>
      <c r="K48" s="47" t="s">
        <v>51</v>
      </c>
      <c r="L48" s="63">
        <f>ROUND((($L$46-INDEX(C48:C50,M48))*INDEX(G48:G50,M48)+INDEX(E48:E50,M48))/12,2)</f>
        <v>0</v>
      </c>
      <c r="M48" s="62">
        <f>MATCH("X",H48:H50,0)</f>
        <v>1</v>
      </c>
      <c r="N48" s="89">
        <f>ROUND((($N$46-INDEX(C48:C50,O48))*INDEX(G48:G50,O48)+INDEX(E48:E50,O48))/12,2)</f>
        <v>0</v>
      </c>
      <c r="O48" s="62">
        <f>MATCH("X",I48:I50,0)</f>
        <v>1</v>
      </c>
    </row>
    <row r="49" spans="1:18" x14ac:dyDescent="0.25">
      <c r="A49" s="62">
        <v>4</v>
      </c>
      <c r="B49" s="126"/>
      <c r="C49" s="20">
        <f>INDEX(tbl_StateTaxData,A49,MATCH($D$4,tbl_Years,0))</f>
        <v>79900</v>
      </c>
      <c r="D49" s="21">
        <f>INDEX(tbl_StateTaxData,A49+1,MATCH($D$4,tbl_Years,0))</f>
        <v>181650</v>
      </c>
      <c r="E49" s="54">
        <f>INDEX(tbl_StateTaxData,A49,MATCH($D$4,tbl_Years,0)+2)</f>
        <v>2996.25</v>
      </c>
      <c r="F49" s="55" t="s">
        <v>42</v>
      </c>
      <c r="G49" s="56">
        <f>INDEX(tbl_StateTaxData,A49,MATCH($D$4,tbl_Years,0)+1)</f>
        <v>4.7500000000000001E-2</v>
      </c>
      <c r="H49" s="70" t="str">
        <f>IF($L$46=0,"",IF(AND(C49&lt;$L$46,$L$46&lt;=D49),"X",""))</f>
        <v/>
      </c>
      <c r="I49" s="70" t="str">
        <f>IF($N$46=0,"",IF(AND(C49&lt;$N$46,$N$46&lt;=D49),"X",""))</f>
        <v/>
      </c>
    </row>
    <row r="50" spans="1:18" ht="16.5" thickBot="1" x14ac:dyDescent="0.3">
      <c r="A50" s="62">
        <v>5</v>
      </c>
      <c r="B50" s="127"/>
      <c r="C50" s="23">
        <f>INDEX(tbl_StateTaxData,A50,MATCH($D$4,tbl_Years,0))</f>
        <v>181650</v>
      </c>
      <c r="D50" s="24"/>
      <c r="E50" s="57">
        <f>INDEX(tbl_StateTaxData,A50,MATCH($D$4,tbl_Years,0)+2)</f>
        <v>7829.375</v>
      </c>
      <c r="F50" s="58" t="s">
        <v>42</v>
      </c>
      <c r="G50" s="59">
        <f>INDEX(tbl_StateTaxData,A50,MATCH($D$4,tbl_Years,0)+1)</f>
        <v>5.9900000000000002E-2</v>
      </c>
      <c r="H50" s="71" t="str">
        <f>IF($L$46=0,"",IF(C50&lt;$L$46,"X",""))</f>
        <v/>
      </c>
      <c r="I50" s="71" t="str">
        <f>IF($N$46=0,"",IF(C50&lt;$N$46,"X",""))</f>
        <v/>
      </c>
      <c r="K50" s="61" t="s">
        <v>62</v>
      </c>
    </row>
    <row r="51" spans="1:18" ht="15.75" thickBot="1" x14ac:dyDescent="0.3">
      <c r="K51" s="2"/>
    </row>
    <row r="52" spans="1:18" ht="15.75" thickBot="1" x14ac:dyDescent="0.3">
      <c r="K52" s="47" t="s">
        <v>55</v>
      </c>
      <c r="L52" s="63">
        <f>val_StateDesired</f>
        <v>0</v>
      </c>
    </row>
    <row r="53" spans="1:18" ht="15.75" thickBot="1" x14ac:dyDescent="0.3">
      <c r="K53" s="74" t="s">
        <v>56</v>
      </c>
      <c r="L53" s="73">
        <f>val_StateWH</f>
        <v>0</v>
      </c>
    </row>
    <row r="54" spans="1:18" ht="15.75" thickBot="1" x14ac:dyDescent="0.3"/>
    <row r="55" spans="1:18" ht="15.75" thickBot="1" x14ac:dyDescent="0.3">
      <c r="K55" s="100" t="s">
        <v>60</v>
      </c>
      <c r="L55" s="101"/>
      <c r="M55" s="101"/>
      <c r="N55" s="101"/>
      <c r="O55" s="101"/>
      <c r="P55" s="101"/>
      <c r="Q55" s="102"/>
      <c r="R55" s="68" t="s">
        <v>61</v>
      </c>
    </row>
    <row r="56" spans="1:18" x14ac:dyDescent="0.25">
      <c r="K56" s="114" t="str">
        <f>"Increase Additional Withholding for RI Elections to "&amp;TEXT(val_StateDesired-val_StateWH+val_StateAddWH,"$0.00")</f>
        <v>Increase Additional Withholding for RI Elections to $0.00</v>
      </c>
      <c r="L56" s="115"/>
      <c r="M56" s="115"/>
      <c r="N56" s="115"/>
      <c r="O56" s="115"/>
      <c r="P56" s="115"/>
      <c r="Q56" s="116"/>
      <c r="R56" s="69" t="str">
        <f>IF(L52&gt;L53,"X","")</f>
        <v/>
      </c>
    </row>
    <row r="57" spans="1:18" x14ac:dyDescent="0.25">
      <c r="K57" s="117" t="s">
        <v>63</v>
      </c>
      <c r="L57" s="118"/>
      <c r="M57" s="118"/>
      <c r="N57" s="118"/>
      <c r="O57" s="118"/>
      <c r="P57" s="118"/>
      <c r="Q57" s="119"/>
      <c r="R57" s="70" t="str">
        <f>IF(L52=L53,"X","")</f>
        <v>X</v>
      </c>
    </row>
    <row r="58" spans="1:18" x14ac:dyDescent="0.25">
      <c r="K58" s="117" t="s">
        <v>64</v>
      </c>
      <c r="L58" s="118"/>
      <c r="M58" s="118"/>
      <c r="N58" s="118"/>
      <c r="O58" s="118"/>
      <c r="P58" s="118"/>
      <c r="Q58" s="119"/>
      <c r="R58" s="70" t="str">
        <f>IF(L52&lt;L53,IF(val_FedAddWH&gt;0,"X",""),"")</f>
        <v/>
      </c>
    </row>
    <row r="59" spans="1:18" ht="15.75" thickBot="1" x14ac:dyDescent="0.3">
      <c r="K59" s="120" t="s">
        <v>65</v>
      </c>
      <c r="L59" s="121"/>
      <c r="M59" s="121"/>
      <c r="N59" s="121"/>
      <c r="O59" s="121"/>
      <c r="P59" s="121"/>
      <c r="Q59" s="122"/>
      <c r="R59" s="71" t="str">
        <f>IF(L52&lt;L53,IF(val_FedAddWH&lt;=0,"X",""),"")</f>
        <v/>
      </c>
    </row>
  </sheetData>
  <sheetProtection selectLockedCells="1"/>
  <mergeCells count="16">
    <mergeCell ref="K19:Q19"/>
    <mergeCell ref="K20:Q20"/>
    <mergeCell ref="K21:Q21"/>
    <mergeCell ref="K22:Q22"/>
    <mergeCell ref="K23:Q23"/>
    <mergeCell ref="B4:C4"/>
    <mergeCell ref="B10:B18"/>
    <mergeCell ref="B20:B28"/>
    <mergeCell ref="B47:B50"/>
    <mergeCell ref="B30:B38"/>
    <mergeCell ref="B40:B41"/>
    <mergeCell ref="K55:Q55"/>
    <mergeCell ref="K56:Q56"/>
    <mergeCell ref="K57:Q57"/>
    <mergeCell ref="K58:Q58"/>
    <mergeCell ref="K59:Q59"/>
  </mergeCells>
  <conditionalFormatting sqref="B40:B42">
    <cfRule type="expression" dxfId="4" priority="1">
      <formula>$H40="X"</formula>
    </cfRule>
  </conditionalFormatting>
  <conditionalFormatting sqref="C30:H38">
    <cfRule type="expression" dxfId="3" priority="4">
      <formula>$H30="X"</formula>
    </cfRule>
  </conditionalFormatting>
  <conditionalFormatting sqref="C11:I19 C20:H20 C21:I29 C47:H47 C48:I50">
    <cfRule type="expression" dxfId="2" priority="7">
      <formula>$H11="X"</formula>
    </cfRule>
  </conditionalFormatting>
  <conditionalFormatting sqref="C39:I46">
    <cfRule type="expression" dxfId="1" priority="3">
      <formula>$H39="X"</formula>
    </cfRule>
  </conditionalFormatting>
  <conditionalFormatting sqref="K20:R23 K56:K59 R56:R59">
    <cfRule type="expression" dxfId="0" priority="6">
      <formula>$R20="X"</formula>
    </cfRule>
  </conditionalFormatting>
  <pageMargins left="0.7" right="0.7" top="0.75" bottom="0.75" header="0.3" footer="0.3"/>
  <pageSetup orientation="portrait" r:id="rId1"/>
  <customProperties>
    <customPr name="Sheet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tabColor theme="3" tint="0.59999389629810485"/>
  </sheetPr>
  <dimension ref="B2:J154"/>
  <sheetViews>
    <sheetView zoomScaleNormal="100" workbookViewId="0">
      <selection activeCell="C44" sqref="C44"/>
    </sheetView>
  </sheetViews>
  <sheetFormatPr defaultColWidth="11.42578125" defaultRowHeight="15" x14ac:dyDescent="0.25"/>
  <cols>
    <col min="1" max="1" width="3.7109375" customWidth="1"/>
    <col min="2" max="2" width="4.7109375" customWidth="1"/>
  </cols>
  <sheetData>
    <row r="2" spans="2:2" ht="21" x14ac:dyDescent="0.35">
      <c r="B2" s="60" t="s">
        <v>68</v>
      </c>
    </row>
    <row r="4" spans="2:2" ht="15.75" x14ac:dyDescent="0.25">
      <c r="B4" s="61" t="s">
        <v>66</v>
      </c>
    </row>
    <row r="6" spans="2:2" x14ac:dyDescent="0.25">
      <c r="B6" t="s">
        <v>70</v>
      </c>
    </row>
    <row r="7" spans="2:2" x14ac:dyDescent="0.25">
      <c r="B7" t="s">
        <v>71</v>
      </c>
    </row>
    <row r="20" spans="2:5" x14ac:dyDescent="0.25">
      <c r="B20" t="s">
        <v>69</v>
      </c>
    </row>
    <row r="21" spans="2:5" s="79" customFormat="1" x14ac:dyDescent="0.25">
      <c r="B21" s="80" t="s">
        <v>72</v>
      </c>
    </row>
    <row r="27" spans="2:5" ht="15.75" x14ac:dyDescent="0.25">
      <c r="B27" s="61" t="s">
        <v>19</v>
      </c>
    </row>
    <row r="28" spans="2:5" x14ac:dyDescent="0.25">
      <c r="B28" t="s">
        <v>18</v>
      </c>
    </row>
    <row r="29" spans="2:5" x14ac:dyDescent="0.25">
      <c r="B29" t="s">
        <v>23</v>
      </c>
    </row>
    <row r="30" spans="2:5" x14ac:dyDescent="0.25">
      <c r="B30" s="82" t="s">
        <v>24</v>
      </c>
    </row>
    <row r="32" spans="2:5" x14ac:dyDescent="0.25">
      <c r="B32" t="s">
        <v>87</v>
      </c>
      <c r="E32" s="15" t="s">
        <v>88</v>
      </c>
    </row>
    <row r="33" spans="2:5" x14ac:dyDescent="0.25">
      <c r="B33" t="s">
        <v>73</v>
      </c>
      <c r="E33" s="15"/>
    </row>
    <row r="35" spans="2:5" x14ac:dyDescent="0.25">
      <c r="B35" t="s">
        <v>25</v>
      </c>
    </row>
    <row r="37" spans="2:5" x14ac:dyDescent="0.25">
      <c r="B37" s="40" t="s">
        <v>26</v>
      </c>
    </row>
    <row r="38" spans="2:5" ht="24.6" customHeight="1" x14ac:dyDescent="0.25">
      <c r="B38" s="62" t="s">
        <v>39</v>
      </c>
      <c r="C38" s="83" t="s">
        <v>86</v>
      </c>
    </row>
    <row r="39" spans="2:5" x14ac:dyDescent="0.25">
      <c r="C39" t="s">
        <v>74</v>
      </c>
    </row>
    <row r="54" spans="2:3" x14ac:dyDescent="0.25">
      <c r="B54" s="40" t="s">
        <v>36</v>
      </c>
    </row>
    <row r="55" spans="2:3" x14ac:dyDescent="0.25">
      <c r="C55" t="s">
        <v>89</v>
      </c>
    </row>
    <row r="56" spans="2:3" x14ac:dyDescent="0.25">
      <c r="C56" t="s">
        <v>30</v>
      </c>
    </row>
    <row r="57" spans="2:3" x14ac:dyDescent="0.25">
      <c r="C57" t="s">
        <v>27</v>
      </c>
    </row>
    <row r="73" spans="2:3" x14ac:dyDescent="0.25">
      <c r="B73" s="40" t="s">
        <v>22</v>
      </c>
    </row>
    <row r="74" spans="2:3" x14ac:dyDescent="0.25">
      <c r="C74" t="s">
        <v>75</v>
      </c>
    </row>
    <row r="77" spans="2:3" ht="15.75" x14ac:dyDescent="0.25">
      <c r="B77" s="61" t="s">
        <v>32</v>
      </c>
    </row>
    <row r="79" spans="2:3" x14ac:dyDescent="0.25">
      <c r="B79" t="s">
        <v>23</v>
      </c>
    </row>
    <row r="80" spans="2:3" x14ac:dyDescent="0.25">
      <c r="B80" s="82" t="s">
        <v>45</v>
      </c>
    </row>
    <row r="82" spans="2:10" x14ac:dyDescent="0.25">
      <c r="B82" t="s">
        <v>34</v>
      </c>
      <c r="H82" s="15"/>
      <c r="I82" s="15" t="s">
        <v>35</v>
      </c>
      <c r="J82" s="15"/>
    </row>
    <row r="84" spans="2:10" x14ac:dyDescent="0.25">
      <c r="B84" t="s">
        <v>25</v>
      </c>
    </row>
    <row r="86" spans="2:10" x14ac:dyDescent="0.25">
      <c r="B86" s="40" t="s">
        <v>26</v>
      </c>
    </row>
    <row r="87" spans="2:10" x14ac:dyDescent="0.25">
      <c r="C87" t="s">
        <v>38</v>
      </c>
    </row>
    <row r="88" spans="2:10" x14ac:dyDescent="0.25">
      <c r="C88" t="s">
        <v>76</v>
      </c>
    </row>
    <row r="104" spans="2:3" x14ac:dyDescent="0.25">
      <c r="B104" s="40" t="s">
        <v>33</v>
      </c>
    </row>
    <row r="105" spans="2:3" x14ac:dyDescent="0.25">
      <c r="C105" t="s">
        <v>37</v>
      </c>
    </row>
    <row r="106" spans="2:3" x14ac:dyDescent="0.25">
      <c r="C106" t="s">
        <v>77</v>
      </c>
    </row>
    <row r="107" spans="2:3" x14ac:dyDescent="0.25">
      <c r="C107" t="s">
        <v>78</v>
      </c>
    </row>
    <row r="121" spans="2:3" x14ac:dyDescent="0.25">
      <c r="B121" s="40" t="s">
        <v>22</v>
      </c>
    </row>
    <row r="122" spans="2:3" x14ac:dyDescent="0.25">
      <c r="C122" t="s">
        <v>79</v>
      </c>
    </row>
    <row r="125" spans="2:3" ht="15.75" x14ac:dyDescent="0.25">
      <c r="B125" s="61" t="s">
        <v>67</v>
      </c>
    </row>
    <row r="127" spans="2:3" x14ac:dyDescent="0.25">
      <c r="B127" t="s">
        <v>80</v>
      </c>
    </row>
    <row r="129" spans="2:2" ht="15.75" x14ac:dyDescent="0.25">
      <c r="B129" s="61" t="s">
        <v>81</v>
      </c>
    </row>
    <row r="131" spans="2:2" x14ac:dyDescent="0.25">
      <c r="B131" t="s">
        <v>82</v>
      </c>
    </row>
    <row r="132" spans="2:2" x14ac:dyDescent="0.25">
      <c r="B132" t="s">
        <v>83</v>
      </c>
    </row>
    <row r="133" spans="2:2" x14ac:dyDescent="0.25">
      <c r="B133" t="s">
        <v>85</v>
      </c>
    </row>
    <row r="144" spans="2:2" x14ac:dyDescent="0.25">
      <c r="B144" t="s">
        <v>84</v>
      </c>
    </row>
    <row r="154" spans="5:5" x14ac:dyDescent="0.25">
      <c r="E154" s="16"/>
    </row>
  </sheetData>
  <sheetProtection selectLockedCells="1"/>
  <hyperlinks>
    <hyperlink ref="B30" r:id="rId1" xr:uid="{00000000-0004-0000-0400-000000000000}"/>
    <hyperlink ref="B80" r:id="rId2" xr:uid="{00000000-0004-0000-0400-000001000000}"/>
  </hyperlinks>
  <pageMargins left="0.7" right="0.7" top="0.75" bottom="0.75" header="0.3" footer="0.3"/>
  <pageSetup orientation="portrait" r:id="rId3"/>
  <customProperties>
    <customPr name="SheetId" r:id="rId4"/>
  </customPropertie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6012F-EBEE-42B8-BF50-AF0FF2BDB7C6}">
  <dimension ref="C1"/>
  <sheetViews>
    <sheetView workbookViewId="0"/>
  </sheetViews>
  <sheetFormatPr defaultColWidth="11.42578125" defaultRowHeight="15" x14ac:dyDescent="0.25"/>
  <sheetData>
    <row r="1" spans="3:3" x14ac:dyDescent="0.25">
      <c r="C1" t="b">
        <v>1</v>
      </c>
    </row>
  </sheetData>
  <pageMargins left="0.7" right="0.7" top="0.75" bottom="0.75" header="0.3" footer="0.3"/>
  <pageSetup orientation="portrait" r:id="rId1"/>
  <customProperties>
    <customPr name="Sheet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A o M o W C V 4 4 H C j A A A A 9 w A A A B I A H A B D b 2 5 m a W c v U G F j a 2 F n Z S 5 4 b W w g o h g A K K A U A A A A A A A A A A A A A A A A A A A A A A A A A A A A h U 8 9 D o I w G L 0 K 6 U 7 / d D C k l M F V E h O i c W 1 K h U b 4 M L R Y 7 u b g k b y C G E X d H N 7 w / p L 3 7 t e b y M a 2 i S 6 m d 7 a D F D F M U W R A d 6 W F K k W D P 8 Y r l E m x V f q k K h N N Y X D J 6 G y K a u / P C S E h B B w W u O s r w i l l 5 J B v C l 2 b V s U W n F e g D f q 0 y v 8 t J M X + N U Z y z P g E t u S Y C j K r I r f w T f B p 8 N P 9 E c V 6 a P z Q G 2 k g 3 h W C z F S Q 9 w n 5 A F B L A w Q U A A I A C A A C g y h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o M o W C i K R 7 g O A A A A E Q A A A B M A H A B G b 3 J t d W x h c y 9 T Z W N 0 a W 9 u M S 5 t I K I Y A C i g F A A A A A A A A A A A A A A A A A A A A A A A A A A A A C t O T S 7 J z M 9 T C I b Q h t Y A U E s B A i 0 A F A A C A A g A A o M o W C V 4 4 H C j A A A A 9 w A A A B I A A A A A A A A A A A A A A A A A A A A A A E N v b m Z p Z y 9 Q Y W N r Y W d l L n h t b F B L A Q I t A B Q A A g A I A A K D K F g P y u m r p A A A A O k A A A A T A A A A A A A A A A A A A A A A A O 8 A A A B b Q 2 9 u d G V u d F 9 U e X B l c 1 0 u e G 1 s U E s B A i 0 A F A A C A A g A A o M o W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M f 8 G / + T a G x G i 4 + d f C W W p O g A A A A A A g A A A A A A A 2 Y A A M A A A A A Q A A A A v S T Q Y r Q y 8 f X 5 H 6 + V q Z A k t A A A A A A E g A A A o A A A A B A A A A A k a w s O g c U e E U 0 O 4 0 c o g b i y U A A A A C z X u K 5 Q D l M V m T k h K j H T g Z Y + G h K g 9 6 o 7 z Q F d R L / 8 t U x w k A U A 0 h N 0 v A V L R i T T z + d m A + j i G J 6 o c g e o w x x e 7 q E q n 4 R r n 1 E a Y w 1 T B T 0 1 K F R T U m D S F A A A A B n C z W l I A E W G R n X o n O 6 x x 9 + l r + c g < / D a t a M a s h u p > 
</file>

<file path=customXml/itemProps1.xml><?xml version="1.0" encoding="utf-8"?>
<ds:datastoreItem xmlns:ds="http://schemas.openxmlformats.org/officeDocument/2006/customXml" ds:itemID="{43553B57-AD51-4708-8025-E3B447D295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39</vt:i4>
      </vt:variant>
    </vt:vector>
  </HeadingPairs>
  <TitlesOfParts>
    <vt:vector size="44" baseType="lpstr">
      <vt:lpstr>Tax_Calculator_2025</vt:lpstr>
      <vt:lpstr>Former_Tax_Calculator_2025</vt:lpstr>
      <vt:lpstr>Data</vt:lpstr>
      <vt:lpstr>TaxCalculation</vt:lpstr>
      <vt:lpstr>Update</vt:lpstr>
      <vt:lpstr>OLD_val_FedAddWH</vt:lpstr>
      <vt:lpstr>OLD_val_FedMarriedWH</vt:lpstr>
      <vt:lpstr>OLD_val_FedNumExempt</vt:lpstr>
      <vt:lpstr>OLD_val_FedSingleWH</vt:lpstr>
      <vt:lpstr>OLD_val_MaritalStatus</vt:lpstr>
      <vt:lpstr>OLD_val_MonthlyGross</vt:lpstr>
      <vt:lpstr>OLD_val_StateAddWH</vt:lpstr>
      <vt:lpstr>OLD_val_StateCalcWH</vt:lpstr>
      <vt:lpstr>OLD_val_StateNumExempt</vt:lpstr>
      <vt:lpstr>tbl_FedTaxData</vt:lpstr>
      <vt:lpstr>tbl_StateTaxData</vt:lpstr>
      <vt:lpstr>tbl_Years</vt:lpstr>
      <vt:lpstr>Former_Tax_Calculator_2025!val_FedAddWH</vt:lpstr>
      <vt:lpstr>val_FedAddWH</vt:lpstr>
      <vt:lpstr>val_FedDeductions</vt:lpstr>
      <vt:lpstr>val_FedDependentCredits</vt:lpstr>
      <vt:lpstr>val_FedDesired</vt:lpstr>
      <vt:lpstr>val_FedHoHWH</vt:lpstr>
      <vt:lpstr>val_FedMarriedWH</vt:lpstr>
      <vt:lpstr>Former_Tax_Calculator_2025!val_FedNumExempt</vt:lpstr>
      <vt:lpstr>val_FedOtherIncome</vt:lpstr>
      <vt:lpstr>val_FedSingleWH</vt:lpstr>
      <vt:lpstr>val_FedTotalIncAddPens</vt:lpstr>
      <vt:lpstr>Former_Tax_Calculator_2025!val_FedWH</vt:lpstr>
      <vt:lpstr>val_FedWH</vt:lpstr>
      <vt:lpstr>Val_FillingDeductionMarried</vt:lpstr>
      <vt:lpstr>Val_FillingDeductionOther</vt:lpstr>
      <vt:lpstr>Former_Tax_Calculator_2025!val_MaritalStatus</vt:lpstr>
      <vt:lpstr>val_MaritalStatus</vt:lpstr>
      <vt:lpstr>Former_Tax_Calculator_2025!val_MonthlyGross</vt:lpstr>
      <vt:lpstr>val_MonthlyGross</vt:lpstr>
      <vt:lpstr>Former_Tax_Calculator_2025!val_StateAddWH</vt:lpstr>
      <vt:lpstr>val_StateAddWH</vt:lpstr>
      <vt:lpstr>val_StateCalcWH</vt:lpstr>
      <vt:lpstr>val_StateDesired</vt:lpstr>
      <vt:lpstr>Former_Tax_Calculator_2025!val_StateNumExempt</vt:lpstr>
      <vt:lpstr>val_StateNumExempt</vt:lpstr>
      <vt:lpstr>Former_Tax_Calculator_2025!val_StateWH</vt:lpstr>
      <vt:lpstr>val_StateWH</vt:lpstr>
    </vt:vector>
  </TitlesOfParts>
  <Company>Morneau Shepell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Koehler</dc:creator>
  <cp:lastModifiedBy>Eric Motta</cp:lastModifiedBy>
  <dcterms:created xsi:type="dcterms:W3CDTF">2014-11-24T13:35:58Z</dcterms:created>
  <dcterms:modified xsi:type="dcterms:W3CDTF">2025-01-23T13:55:30Z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e712cef-7f2e-4ff6-bc72-fc5d119f50a1_Enabled">
    <vt:lpwstr>true</vt:lpwstr>
  </property>
  <property fmtid="{D5CDD505-2E9C-101B-9397-08002B2CF9AE}" pid="3" name="MSIP_Label_0e712cef-7f2e-4ff6-bc72-fc5d119f50a1_SetDate">
    <vt:lpwstr>2021-01-19T19:13:07Z</vt:lpwstr>
  </property>
  <property fmtid="{D5CDD505-2E9C-101B-9397-08002B2CF9AE}" pid="4" name="MSIP_Label_0e712cef-7f2e-4ff6-bc72-fc5d119f50a1_Method">
    <vt:lpwstr>Standard</vt:lpwstr>
  </property>
  <property fmtid="{D5CDD505-2E9C-101B-9397-08002B2CF9AE}" pid="5" name="MSIP_Label_0e712cef-7f2e-4ff6-bc72-fc5d119f50a1_Name">
    <vt:lpwstr>Company Confidential</vt:lpwstr>
  </property>
  <property fmtid="{D5CDD505-2E9C-101B-9397-08002B2CF9AE}" pid="6" name="MSIP_Label_0e712cef-7f2e-4ff6-bc72-fc5d119f50a1_SiteId">
    <vt:lpwstr>7565b51c-5e87-48eb-bc80-252b20bc1ade</vt:lpwstr>
  </property>
  <property fmtid="{D5CDD505-2E9C-101B-9397-08002B2CF9AE}" pid="7" name="MSIP_Label_0e712cef-7f2e-4ff6-bc72-fc5d119f50a1_ActionId">
    <vt:lpwstr>e75bdb71-5ee5-4b06-ae54-ba03a10e06e9</vt:lpwstr>
  </property>
  <property fmtid="{D5CDD505-2E9C-101B-9397-08002B2CF9AE}" pid="8" name="MSIP_Label_0e712cef-7f2e-4ff6-bc72-fc5d119f50a1_ContentBits">
    <vt:lpwstr>0</vt:lpwstr>
  </property>
</Properties>
</file>